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puts" sheetId="1" state="visible" r:id="rId1"/>
    <sheet xmlns:r="http://schemas.openxmlformats.org/officeDocument/2006/relationships" name="Model" sheetId="2" state="visible" r:id="rId2"/>
    <sheet xmlns:r="http://schemas.openxmlformats.org/officeDocument/2006/relationships" name="Checklist" sheetId="3" state="visible" r:id="rId3"/>
  </sheets>
  <definedNames/>
  <calcPr calcId="124519" fullCalcOnLoad="1"/>
</workbook>
</file>

<file path=xl/styles.xml><?xml version="1.0" encoding="utf-8"?>
<styleSheet xmlns="http://schemas.openxmlformats.org/spreadsheetml/2006/main">
  <numFmts count="5">
    <numFmt numFmtId="164" formatCode="#,##0;[Red]-#,##0"/>
    <numFmt numFmtId="165" formatCode="0.0"/>
    <numFmt numFmtId="166" formatCode="0.0%"/>
    <numFmt numFmtId="167" formatCode="0.000"/>
    <numFmt numFmtId="168" formatCode="&quot;Year &quot;0"/>
  </numFmts>
  <fonts count="7">
    <font>
      <name val="Calibri"/>
      <family val="2"/>
      <color theme="1"/>
      <sz val="11"/>
      <scheme val="minor"/>
    </font>
    <font>
      <name val="Calibri"/>
      <b val="1"/>
      <color rgb="00171417"/>
      <sz val="16"/>
    </font>
    <font>
      <name val="Calibri"/>
      <i val="1"/>
      <color rgb="005C5870"/>
      <sz val="10"/>
    </font>
    <font>
      <name val="Calibri"/>
      <b val="1"/>
      <color rgb="00FFFFFF"/>
      <sz val="11"/>
    </font>
    <font>
      <name val="Calibri"/>
      <color rgb="000000FF"/>
      <sz val="11"/>
    </font>
    <font>
      <name val="Calibri"/>
      <sz val="11"/>
    </font>
    <font>
      <name val="Calibri"/>
      <b val="1"/>
      <sz val="11"/>
    </font>
  </fonts>
  <fills count="6">
    <fill>
      <patternFill/>
    </fill>
    <fill>
      <patternFill patternType="gray125"/>
    </fill>
    <fill>
      <patternFill patternType="solid">
        <fgColor rgb="00171417"/>
      </patternFill>
    </fill>
    <fill>
      <patternFill patternType="solid">
        <fgColor rgb="007963E9"/>
      </patternFill>
    </fill>
    <fill>
      <patternFill patternType="solid">
        <fgColor rgb="00F3FDD0"/>
      </patternFill>
    </fill>
    <fill>
      <patternFill patternType="solid">
        <fgColor rgb="00EFEBFC"/>
      </patternFill>
    </fill>
  </fills>
  <borders count="2">
    <border>
      <left/>
      <right/>
      <top/>
      <bottom/>
      <diagonal/>
    </border>
    <border>
      <bottom style="thin">
        <color rgb="00ECEBF2"/>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center" wrapText="1"/>
    </xf>
    <xf numFmtId="0" fontId="3" fillId="3" borderId="0" pivotButton="0" quotePrefix="0" xfId="0"/>
    <xf numFmtId="0" fontId="0" fillId="3" borderId="0" pivotButton="0" quotePrefix="0" xfId="0"/>
    <xf numFmtId="3" fontId="4" fillId="4" borderId="0" pivotButton="0" quotePrefix="0" xfId="0"/>
    <xf numFmtId="164" fontId="4" fillId="4" borderId="0" pivotButton="0" quotePrefix="0" xfId="0"/>
    <xf numFmtId="1" fontId="4" fillId="4" borderId="0" pivotButton="0" quotePrefix="0" xfId="0"/>
    <xf numFmtId="165" fontId="4" fillId="4" borderId="0" pivotButton="0" quotePrefix="0" xfId="0"/>
    <xf numFmtId="166" fontId="4" fillId="4" borderId="0" pivotButton="0" quotePrefix="0" xfId="0"/>
    <xf numFmtId="2" fontId="4" fillId="4" borderId="0" pivotButton="0" quotePrefix="0" xfId="0"/>
    <xf numFmtId="49" fontId="4" fillId="4" borderId="0" pivotButton="0" quotePrefix="0" xfId="0"/>
    <xf numFmtId="168" fontId="3" fillId="3" borderId="0" applyAlignment="1" pivotButton="0" quotePrefix="0" xfId="0">
      <alignment horizontal="right"/>
    </xf>
    <xf numFmtId="0" fontId="5" fillId="0" borderId="0" pivotButton="0" quotePrefix="0" xfId="0"/>
    <xf numFmtId="3" fontId="0" fillId="0" borderId="1" pivotButton="0" quotePrefix="0" xfId="0"/>
    <xf numFmtId="166" fontId="0" fillId="0" borderId="1" pivotButton="0" quotePrefix="0" xfId="0"/>
    <xf numFmtId="0" fontId="6" fillId="0" borderId="0" pivotButton="0" quotePrefix="0" xfId="0"/>
    <xf numFmtId="164" fontId="0" fillId="0" borderId="1" pivotButton="0" quotePrefix="0" xfId="0"/>
    <xf numFmtId="49" fontId="6" fillId="5" borderId="0" applyAlignment="1" pivotButton="0" quotePrefix="0" xfId="0">
      <alignment horizontal="right"/>
    </xf>
    <xf numFmtId="164" fontId="6" fillId="5" borderId="0" applyAlignment="1" pivotButton="0" quotePrefix="0" xfId="0">
      <alignment horizontal="right"/>
    </xf>
    <xf numFmtId="1" fontId="6" fillId="5" borderId="0" applyAlignment="1" pivotButton="0" quotePrefix="0" xfId="0">
      <alignment horizontal="right"/>
    </xf>
    <xf numFmtId="0" fontId="3" fillId="3" borderId="0" applyAlignment="1" pivotButton="0" quotePrefix="0" xfId="0">
      <alignment horizontal="right"/>
    </xf>
    <xf numFmtId="1" fontId="0" fillId="0" borderId="1" pivotButton="0" quotePrefix="0" xfId="0"/>
    <xf numFmtId="165" fontId="0" fillId="0" borderId="1" pivotButton="0" quotePrefix="0" xfId="0"/>
    <xf numFmtId="165" fontId="6" fillId="0" borderId="1" pivotButton="0" quotePrefix="0" xfId="0"/>
    <xf numFmtId="3" fontId="6" fillId="0" borderId="1" pivotButton="0" quotePrefix="0" xfId="0"/>
    <xf numFmtId="167" fontId="0" fillId="0" borderId="1" pivotButton="0" quotePrefix="0" xfId="0"/>
    <xf numFmtId="164" fontId="6" fillId="0" borderId="1" pivotButton="0" quotePrefix="0" xfId="0"/>
    <xf numFmtId="2" fontId="0" fillId="0" borderId="1" pivotButton="0" quotePrefix="0" xfId="0"/>
    <xf numFmtId="0" fontId="0" fillId="0" borderId="1" pivotButton="0" quotePrefix="0" xfId="0"/>
    <xf numFmtId="0" fontId="0" fillId="0" borderId="1" applyAlignment="1" pivotButton="0" quotePrefix="0" xfId="0">
      <alignment vertical="top" wrapText="1"/>
    </xf>
    <xf numFmtId="0" fontId="0" fillId="4"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ARR at year end ($)</a:t>
            </a:r>
          </a:p>
        </rich>
      </tx>
    </title>
    <plotArea>
      <barChart>
        <barDir val="col"/>
        <grouping val="clustered"/>
        <ser>
          <idx val="0"/>
          <order val="0"/>
          <spPr>
            <a:ln xmlns:a="http://schemas.openxmlformats.org/drawingml/2006/main">
              <a:prstDash val="solid"/>
            </a:ln>
          </spPr>
          <cat>
            <numRef>
              <f>'Model'!$D$4:$H$4</f>
            </numRef>
          </cat>
          <val>
            <numRef>
              <f>'Model'!$D$9:$H$9</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Gross margin by year</a:t>
            </a:r>
          </a:p>
        </rich>
      </tx>
    </title>
    <plotArea>
      <barChart>
        <barDir val="col"/>
        <grouping val="clustered"/>
        <ser>
          <idx val="0"/>
          <order val="0"/>
          <spPr>
            <a:ln xmlns:a="http://schemas.openxmlformats.org/drawingml/2006/main">
              <a:prstDash val="solid"/>
            </a:ln>
          </spPr>
          <cat>
            <numRef>
              <f>'Model'!$D$4:$H$4</f>
            </numRef>
          </cat>
          <val>
            <numRef>
              <f>'Model'!$D$13:$H$13</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9</col>
      <colOff>0</colOff>
      <row>3</row>
      <rowOff>0</rowOff>
    </from>
    <ext cx="5400000" cy="27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9</col>
      <colOff>0</colOff>
      <row>19</row>
      <rowOff>0</rowOff>
    </from>
    <ext cx="5400000" cy="270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K62"/>
  <sheetViews>
    <sheetView workbookViewId="0">
      <pane ySplit="5" topLeftCell="A6" activePane="bottomLeft" state="frozen"/>
      <selection pane="bottomLeft" activeCell="A1" sqref="A1"/>
    </sheetView>
  </sheetViews>
  <sheetFormatPr baseColWidth="8" defaultRowHeight="15"/>
  <cols>
    <col width="46" customWidth="1" min="1" max="1"/>
    <col width="14" customWidth="1" min="2" max="2"/>
    <col width="18"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s>
  <sheetData>
    <row r="1">
      <c r="A1" s="1" t="inlineStr">
        <is>
          <t>AI company revenue model: a fictional AI support-agent startup</t>
        </is>
      </c>
    </row>
    <row r="2">
      <c r="A2" s="2" t="inlineStr">
        <is>
          <t>Blue cells on light green are inputs. Change them and the Model sheet updates. Results are at the top of the Model sheet. All numbers are made up to show how the model works; not financial advice.</t>
        </is>
      </c>
    </row>
    <row r="3">
      <c r="A3" s="2" t="inlineStr">
        <is>
          <t>Made by Waveup for waveup.com/blog/ai-company-revenue-model-example/</t>
        </is>
      </c>
    </row>
    <row r="5">
      <c r="A5" s="3" t="inlineStr">
        <is>
          <t>Input</t>
        </is>
      </c>
      <c r="B5" s="3" t="inlineStr">
        <is>
          <t>Value</t>
        </is>
      </c>
      <c r="C5" s="3" t="inlineStr">
        <is>
          <t>Unit</t>
        </is>
      </c>
      <c r="D5" s="3" t="inlineStr">
        <is>
          <t>What it means</t>
        </is>
      </c>
    </row>
    <row r="6">
      <c r="A6" s="4" t="inlineStr">
        <is>
          <t>Start and funding</t>
        </is>
      </c>
      <c r="B6" s="5" t="n"/>
      <c r="C6" s="5" t="n"/>
      <c r="D6" s="5" t="n"/>
      <c r="E6" s="5" t="n"/>
      <c r="F6" s="5" t="n"/>
      <c r="G6" s="5" t="n"/>
      <c r="H6" s="5" t="n"/>
      <c r="I6" s="5" t="n"/>
      <c r="J6" s="5" t="n"/>
      <c r="K6" s="5" t="n"/>
    </row>
    <row r="7">
      <c r="A7" t="inlineStr">
        <is>
          <t>Paying customers today</t>
        </is>
      </c>
      <c r="B7" s="6" t="n">
        <v>8</v>
      </c>
      <c r="C7" t="inlineStr">
        <is>
          <t>customers</t>
        </is>
      </c>
      <c r="D7" s="2" t="inlineStr">
        <is>
          <t>Customers before quarter 1</t>
        </is>
      </c>
    </row>
    <row r="8">
      <c r="A8" t="inlineStr">
        <is>
          <t>Conversations a month across them</t>
        </is>
      </c>
      <c r="B8" s="6" t="n">
        <v>40000</v>
      </c>
      <c r="C8" t="inlineStr">
        <is>
          <t>a month</t>
        </is>
      </c>
      <c r="D8" s="2" t="inlineStr">
        <is>
          <t>Support conversations your AI handles for them today</t>
        </is>
      </c>
    </row>
    <row r="9">
      <c r="A9" t="inlineStr">
        <is>
          <t>Cash in the bank today</t>
        </is>
      </c>
      <c r="B9" s="7" t="n">
        <v>400000</v>
      </c>
      <c r="C9" t="inlineStr">
        <is>
          <t>$</t>
        </is>
      </c>
      <c r="D9" s="2" t="inlineStr">
        <is>
          <t>Before the seed round lands</t>
        </is>
      </c>
    </row>
    <row r="10">
      <c r="A10" t="inlineStr">
        <is>
          <t>Invoices not yet paid today</t>
        </is>
      </c>
      <c r="B10" s="7" t="n">
        <v>18000</v>
      </c>
      <c r="C10" t="inlineStr">
        <is>
          <t>$</t>
        </is>
      </c>
      <c r="D10" s="2" t="inlineStr">
        <is>
          <t>Collected in quarter 1</t>
        </is>
      </c>
    </row>
    <row r="11">
      <c r="A11" t="inlineStr">
        <is>
          <t>Seed round</t>
        </is>
      </c>
      <c r="B11" s="7" t="n">
        <v>4000000</v>
      </c>
      <c r="C11" t="inlineStr">
        <is>
          <t>$</t>
        </is>
      </c>
      <c r="D11" s="2" t="inlineStr">
        <is>
          <t>The round you are raising now</t>
        </is>
      </c>
    </row>
    <row r="12">
      <c r="A12" t="inlineStr">
        <is>
          <t>Quarter the seed closes</t>
        </is>
      </c>
      <c r="B12" s="8" t="n">
        <v>1</v>
      </c>
      <c r="C12" t="inlineStr">
        <is>
          <t>quarter (1-20)</t>
        </is>
      </c>
      <c r="D12" s="2" t="inlineStr">
        <is>
          <t>Quarter 1 = the first quarter of the model</t>
        </is>
      </c>
    </row>
    <row r="13">
      <c r="A13" t="inlineStr">
        <is>
          <t>Series A</t>
        </is>
      </c>
      <c r="B13" s="7" t="n">
        <v>8000000</v>
      </c>
      <c r="C13" t="inlineStr">
        <is>
          <t>$</t>
        </is>
      </c>
      <c r="D13" s="2" t="inlineStr">
        <is>
          <t>Set it to 0 to see when the cash runs out</t>
        </is>
      </c>
    </row>
    <row r="14">
      <c r="A14" t="inlineStr">
        <is>
          <t>Quarter the Series A closes</t>
        </is>
      </c>
      <c r="B14" s="8" t="n">
        <v>7</v>
      </c>
      <c r="C14" t="inlineStr">
        <is>
          <t>quarter (1-20)</t>
        </is>
      </c>
      <c r="D14" s="2" t="inlineStr">
        <is>
          <t>Quarter 7 = year 2, quarter 3</t>
        </is>
      </c>
    </row>
    <row r="15">
      <c r="A15" t="inlineStr">
        <is>
          <t>Cash you want left at the low point</t>
        </is>
      </c>
      <c r="B15" s="7" t="n">
        <v>1500000</v>
      </c>
      <c r="C15" t="inlineStr">
        <is>
          <t>$</t>
        </is>
      </c>
      <c r="D15" s="2" t="inlineStr">
        <is>
          <t>A safety margin, used to size the funding need</t>
        </is>
      </c>
    </row>
    <row r="16">
      <c r="A16" s="4" t="inlineStr">
        <is>
          <t>Customers and usage</t>
        </is>
      </c>
      <c r="B16" s="5" t="n"/>
      <c r="C16" s="5" t="n"/>
      <c r="D16" s="5" t="n"/>
      <c r="E16" s="5" t="n"/>
      <c r="F16" s="5" t="n"/>
      <c r="G16" s="5" t="n"/>
      <c r="H16" s="5" t="n"/>
      <c r="I16" s="5" t="n"/>
      <c r="J16" s="5" t="n"/>
      <c r="K16" s="5" t="n"/>
    </row>
    <row r="17">
      <c r="A17" t="inlineStr">
        <is>
          <t>New customers a quarter from founder-led sales</t>
        </is>
      </c>
      <c r="B17" s="6" t="n">
        <v>3</v>
      </c>
      <c r="C17" t="inlineStr">
        <is>
          <t>customers</t>
        </is>
      </c>
      <c r="D17" s="2" t="inlineStr">
        <is>
          <t>Deals the founders close themselves</t>
        </is>
      </c>
    </row>
    <row r="18">
      <c r="A18" t="inlineStr">
        <is>
          <t>New customers a quarter per account executive</t>
        </is>
      </c>
      <c r="B18" s="9" t="n">
        <v>5</v>
      </c>
      <c r="C18" t="inlineStr">
        <is>
          <t>customers</t>
        </is>
      </c>
      <c r="D18" s="2" t="inlineStr">
        <is>
          <t>An account executive counts from the quarter after they start</t>
        </is>
      </c>
    </row>
    <row r="19">
      <c r="A19" t="inlineStr">
        <is>
          <t>Customers lost a quarter (churn)</t>
        </is>
      </c>
      <c r="B19" s="10" t="n">
        <v>0.03</v>
      </c>
      <c r="C19" t="inlineStr">
        <is>
          <t>% of customers</t>
        </is>
      </c>
      <c r="D19" s="2" t="inlineStr">
        <is>
          <t>Customers who cancel each quarter</t>
        </is>
      </c>
    </row>
    <row r="20">
      <c r="A20" t="inlineStr">
        <is>
          <t>Conversations a month for a new customer</t>
        </is>
      </c>
      <c r="B20" s="6" t="n">
        <v>6000</v>
      </c>
      <c r="C20" t="inlineStr">
        <is>
          <t>a month</t>
        </is>
      </c>
      <c r="D20" s="2" t="inlineStr">
        <is>
          <t>Support volume a typical new customer sends to the AI</t>
        </is>
      </c>
    </row>
    <row r="21">
      <c r="A21" t="inlineStr">
        <is>
          <t>Growth in conversations per customer</t>
        </is>
      </c>
      <c r="B21" s="10" t="n">
        <v>0.05</v>
      </c>
      <c r="C21" t="inlineStr">
        <is>
          <t>% a quarter</t>
        </is>
      </c>
      <c r="D21" s="2" t="inlineStr">
        <is>
          <t>Customers roll the AI out to more channels and teams</t>
        </is>
      </c>
    </row>
    <row r="22">
      <c r="A22" t="inlineStr">
        <is>
          <t>Share of conversations the AI resolves, year 1</t>
        </is>
      </c>
      <c r="B22" s="10" t="n">
        <v>0.5</v>
      </c>
      <c r="C22" t="inlineStr">
        <is>
          <t>%</t>
        </is>
      </c>
      <c r="D22" s="2" t="inlineStr">
        <is>
          <t>Resolved with no human; the rest go to the customer's team</t>
        </is>
      </c>
    </row>
    <row r="23">
      <c r="A23" t="inlineStr">
        <is>
          <t>Share of conversations the AI resolves, year 2</t>
        </is>
      </c>
      <c r="B23" s="10" t="n">
        <v>0.58</v>
      </c>
      <c r="C23" t="inlineStr">
        <is>
          <t>%</t>
        </is>
      </c>
      <c r="D23" s="2" t="inlineStr"/>
    </row>
    <row r="24">
      <c r="A24" t="inlineStr">
        <is>
          <t>Share of conversations the AI resolves, year 3</t>
        </is>
      </c>
      <c r="B24" s="10" t="n">
        <v>0.64</v>
      </c>
      <c r="C24" t="inlineStr">
        <is>
          <t>%</t>
        </is>
      </c>
      <c r="D24" s="2" t="inlineStr"/>
    </row>
    <row r="25">
      <c r="A25" t="inlineStr">
        <is>
          <t>Share of conversations the AI resolves, year 4</t>
        </is>
      </c>
      <c r="B25" s="10" t="n">
        <v>0.68</v>
      </c>
      <c r="C25" t="inlineStr">
        <is>
          <t>%</t>
        </is>
      </c>
      <c r="D25" s="2" t="inlineStr"/>
    </row>
    <row r="26">
      <c r="A26" t="inlineStr">
        <is>
          <t>Share of conversations the AI resolves, year 5</t>
        </is>
      </c>
      <c r="B26" s="10" t="n">
        <v>0.7</v>
      </c>
      <c r="C26" t="inlineStr">
        <is>
          <t>%</t>
        </is>
      </c>
      <c r="D26" s="2" t="inlineStr"/>
    </row>
    <row r="27">
      <c r="A27" s="4" t="inlineStr">
        <is>
          <t>Pricing</t>
        </is>
      </c>
      <c r="B27" s="5" t="n"/>
      <c r="C27" s="5" t="n"/>
      <c r="D27" s="5" t="n"/>
      <c r="E27" s="5" t="n"/>
      <c r="F27" s="5" t="n"/>
      <c r="G27" s="5" t="n"/>
      <c r="H27" s="5" t="n"/>
      <c r="I27" s="5" t="n"/>
      <c r="J27" s="5" t="n"/>
      <c r="K27" s="5" t="n"/>
    </row>
    <row r="28">
      <c r="A28" t="inlineStr">
        <is>
          <t>Pricing model used in the P&amp;L</t>
        </is>
      </c>
      <c r="B28" s="8" t="n">
        <v>4</v>
      </c>
      <c r="C28" t="inlineStr">
        <is>
          <t>1 to 4</t>
        </is>
      </c>
      <c r="D28" s="2" t="inlineStr">
        <is>
          <t>1 = per seat, 2 = per conversation, 3 = per resolution, 4 = hybrid</t>
        </is>
      </c>
    </row>
    <row r="29">
      <c r="A29" t="inlineStr">
        <is>
          <t>Per seat: price per human support agent</t>
        </is>
      </c>
      <c r="B29" s="6" t="n">
        <v>600</v>
      </c>
      <c r="C29" t="inlineStr">
        <is>
          <t>$ a month</t>
        </is>
      </c>
      <c r="D29" s="2" t="inlineStr">
        <is>
          <t>The customer pays for each agent on its support team</t>
        </is>
      </c>
    </row>
    <row r="30">
      <c r="A30" t="inlineStr">
        <is>
          <t>Conversations one human agent handles</t>
        </is>
      </c>
      <c r="B30" s="6" t="n">
        <v>700</v>
      </c>
      <c r="C30" t="inlineStr">
        <is>
          <t>a month</t>
        </is>
      </c>
      <c r="D30" s="2" t="inlineStr">
        <is>
          <t>Sets how many seats the customer still needs</t>
        </is>
      </c>
    </row>
    <row r="31">
      <c r="A31" t="inlineStr">
        <is>
          <t>Per conversation: price</t>
        </is>
      </c>
      <c r="B31" s="11" t="n">
        <v>0.45</v>
      </c>
      <c r="C31" t="inlineStr">
        <is>
          <t>$ each</t>
        </is>
      </c>
      <c r="D31" s="2" t="inlineStr">
        <is>
          <t>Paid for every conversation the AI handles</t>
        </is>
      </c>
    </row>
    <row r="32">
      <c r="A32" t="inlineStr">
        <is>
          <t>Per resolution: price</t>
        </is>
      </c>
      <c r="B32" s="11" t="n">
        <v>0.85</v>
      </c>
      <c r="C32" t="inlineStr">
        <is>
          <t>$ each</t>
        </is>
      </c>
      <c r="D32" s="2" t="inlineStr">
        <is>
          <t>Paid only when the AI resolves the conversation</t>
        </is>
      </c>
    </row>
    <row r="33">
      <c r="A33" t="inlineStr">
        <is>
          <t>Hybrid: platform fee per customer</t>
        </is>
      </c>
      <c r="B33" s="6" t="n">
        <v>800</v>
      </c>
      <c r="C33" t="inlineStr">
        <is>
          <t>$ a month</t>
        </is>
      </c>
      <c r="D33" s="2" t="inlineStr">
        <is>
          <t>A flat fee, whatever the volume</t>
        </is>
      </c>
    </row>
    <row r="34">
      <c r="A34" t="inlineStr">
        <is>
          <t>Hybrid: price per resolution</t>
        </is>
      </c>
      <c r="B34" s="11" t="n">
        <v>0.6</v>
      </c>
      <c r="C34" t="inlineStr">
        <is>
          <t>$ each</t>
        </is>
      </c>
      <c r="D34" s="2" t="inlineStr">
        <is>
          <t>On top of the platform fee</t>
        </is>
      </c>
    </row>
    <row r="35">
      <c r="A35" t="inlineStr">
        <is>
          <t>Price change each year (all prices)</t>
        </is>
      </c>
      <c r="B35" s="10" t="n">
        <v>-0.05</v>
      </c>
      <c r="C35" t="inlineStr">
        <is>
          <t>% a year</t>
        </is>
      </c>
      <c r="D35" s="2" t="inlineStr">
        <is>
          <t>AI prices tend to fall as model costs fall</t>
        </is>
      </c>
    </row>
    <row r="36">
      <c r="A36" s="4" t="inlineStr">
        <is>
          <t>Cost of revenue</t>
        </is>
      </c>
      <c r="B36" s="5" t="n"/>
      <c r="C36" s="5" t="n"/>
      <c r="D36" s="5" t="n"/>
      <c r="E36" s="5" t="n"/>
      <c r="F36" s="5" t="n"/>
      <c r="G36" s="5" t="n"/>
      <c r="H36" s="5" t="n"/>
      <c r="I36" s="5" t="n"/>
      <c r="J36" s="5" t="n"/>
      <c r="K36" s="5" t="n"/>
    </row>
    <row r="37">
      <c r="A37" t="inlineStr">
        <is>
          <t>AI cost per conversation, year 1</t>
        </is>
      </c>
      <c r="B37" s="11" t="n">
        <v>0.2</v>
      </c>
      <c r="C37" t="inlineStr">
        <is>
          <t>$</t>
        </is>
      </c>
      <c r="D37" s="2" t="inlineStr">
        <is>
          <t>Model fees, search, tool calls and retries</t>
        </is>
      </c>
    </row>
    <row r="38">
      <c r="A38" t="inlineStr">
        <is>
          <t>Change in AI cost per conversation</t>
        </is>
      </c>
      <c r="B38" s="10" t="n">
        <v>-0.15</v>
      </c>
      <c r="C38" t="inlineStr">
        <is>
          <t>% a year</t>
        </is>
      </c>
      <c r="D38" s="2" t="inlineStr">
        <is>
          <t>Cheaper models, caching and routing easy questions</t>
        </is>
      </c>
    </row>
    <row r="39">
      <c r="A39" t="inlineStr">
        <is>
          <t>Hosting, monitoring and data per customer</t>
        </is>
      </c>
      <c r="B39" s="6" t="n">
        <v>100</v>
      </c>
      <c r="C39" t="inlineStr">
        <is>
          <t>$ a month</t>
        </is>
      </c>
      <c r="D39" s="2" t="inlineStr">
        <is>
          <t>Cloud costs that grow with customers</t>
        </is>
      </c>
    </row>
    <row r="40">
      <c r="A40" s="4" t="inlineStr">
        <is>
          <t>Operating costs</t>
        </is>
      </c>
      <c r="B40" s="5" t="n"/>
      <c r="C40" s="5" t="n"/>
      <c r="D40" s="5" t="n"/>
      <c r="E40" s="5" t="n"/>
      <c r="F40" s="5" t="n"/>
      <c r="G40" s="5" t="n"/>
      <c r="H40" s="5" t="n"/>
      <c r="I40" s="5" t="n"/>
      <c r="J40" s="5" t="n"/>
      <c r="K40" s="5" t="n"/>
    </row>
    <row r="41">
      <c r="A41" t="inlineStr">
        <is>
          <t>Payroll taxes and benefits</t>
        </is>
      </c>
      <c r="B41" s="10" t="n">
        <v>0.2</v>
      </c>
      <c r="C41" t="inlineStr">
        <is>
          <t>% of salaries</t>
        </is>
      </c>
      <c r="D41" s="2" t="inlineStr">
        <is>
          <t>Employer costs on top of salaries</t>
        </is>
      </c>
    </row>
    <row r="42">
      <c r="A42" t="inlineStr">
        <is>
          <t>Marketing spend per new customer</t>
        </is>
      </c>
      <c r="B42" s="6" t="n">
        <v>6000</v>
      </c>
      <c r="C42" t="inlineStr">
        <is>
          <t>$</t>
        </is>
      </c>
      <c r="D42" s="2" t="inlineStr">
        <is>
          <t>Ads, events and content, divided by new customers</t>
        </is>
      </c>
    </row>
    <row r="43">
      <c r="A43" t="inlineStr">
        <is>
          <t>R&amp;D compute per engineer</t>
        </is>
      </c>
      <c r="B43" s="6" t="n">
        <v>1000</v>
      </c>
      <c r="C43" t="inlineStr">
        <is>
          <t>$ a month</t>
        </is>
      </c>
      <c r="D43" s="2" t="inlineStr">
        <is>
          <t>Building and testing, not serving customers, so not in cost of revenue</t>
        </is>
      </c>
    </row>
    <row r="44">
      <c r="A44" t="inlineStr">
        <is>
          <t>Software, laptops and travel per person</t>
        </is>
      </c>
      <c r="B44" s="6" t="n">
        <v>1000</v>
      </c>
      <c r="C44" t="inlineStr">
        <is>
          <t>$ a month</t>
        </is>
      </c>
      <c r="D44" s="2" t="inlineStr"/>
    </row>
    <row r="45">
      <c r="A45" t="inlineStr">
        <is>
          <t>Fixed overheads</t>
        </is>
      </c>
      <c r="B45" s="6" t="n">
        <v>8000</v>
      </c>
      <c r="C45" t="inlineStr">
        <is>
          <t>$ a month</t>
        </is>
      </c>
      <c r="D45" s="2" t="inlineStr">
        <is>
          <t>Rent, legal, accounting, insurance</t>
        </is>
      </c>
    </row>
    <row r="46">
      <c r="A46" s="4" t="inlineStr">
        <is>
          <t>Cash</t>
        </is>
      </c>
      <c r="B46" s="5" t="n"/>
      <c r="C46" s="5" t="n"/>
      <c r="D46" s="5" t="n"/>
      <c r="E46" s="5" t="n"/>
      <c r="F46" s="5" t="n"/>
      <c r="G46" s="5" t="n"/>
      <c r="H46" s="5" t="n"/>
      <c r="I46" s="5" t="n"/>
      <c r="J46" s="5" t="n"/>
      <c r="K46" s="5" t="n"/>
    </row>
    <row r="47">
      <c r="A47" t="inlineStr">
        <is>
          <t>Days customers take to pay</t>
        </is>
      </c>
      <c r="B47" s="8" t="n">
        <v>30</v>
      </c>
      <c r="C47" t="inlineStr">
        <is>
          <t>days</t>
        </is>
      </c>
      <c r="D47" s="2" t="inlineStr">
        <is>
          <t>Usage is billed after the month ends, so cash comes in later</t>
        </is>
      </c>
    </row>
    <row r="49">
      <c r="A49" s="4" t="inlineStr">
        <is>
          <t>Hiring plan: headcount at the end of each year (add roles in the empty rows)</t>
        </is>
      </c>
      <c r="B49" s="5" t="n"/>
      <c r="C49" s="5" t="n"/>
      <c r="D49" s="5" t="n"/>
      <c r="E49" s="5" t="n"/>
      <c r="F49" s="5" t="n"/>
      <c r="G49" s="5" t="n"/>
      <c r="H49" s="5" t="n"/>
      <c r="I49" s="5" t="n"/>
      <c r="J49" s="5" t="n"/>
      <c r="K49" s="5" t="n"/>
    </row>
    <row r="50" ht="32" customHeight="1">
      <c r="A50" s="3" t="inlineStr">
        <is>
          <t>Role</t>
        </is>
      </c>
      <c r="B50" s="3" t="inlineStr">
        <is>
          <t>Monthly salary ($)</t>
        </is>
      </c>
      <c r="C50" s="3" t="inlineStr">
        <is>
          <t>In cost of revenue (1/0)</t>
        </is>
      </c>
      <c r="D50" s="3" t="inlineStr">
        <is>
          <t>Sells (1/0)</t>
        </is>
      </c>
      <c r="E50" s="3" t="inlineStr">
        <is>
          <t>Engineer (1/0)</t>
        </is>
      </c>
      <c r="F50" s="3" t="inlineStr">
        <is>
          <t>Today</t>
        </is>
      </c>
      <c r="G50" s="3" t="inlineStr">
        <is>
          <t>End of Y1</t>
        </is>
      </c>
      <c r="H50" s="3" t="inlineStr">
        <is>
          <t>End of Y2</t>
        </is>
      </c>
      <c r="I50" s="3" t="inlineStr">
        <is>
          <t>End of Y3</t>
        </is>
      </c>
      <c r="J50" s="3" t="inlineStr">
        <is>
          <t>End of Y4</t>
        </is>
      </c>
      <c r="K50" s="3" t="inlineStr">
        <is>
          <t>End of Y5</t>
        </is>
      </c>
    </row>
    <row r="51">
      <c r="A51" s="12" t="inlineStr">
        <is>
          <t>Founders</t>
        </is>
      </c>
      <c r="B51" s="6" t="n">
        <v>9000</v>
      </c>
      <c r="C51" s="8" t="n">
        <v>0</v>
      </c>
      <c r="D51" s="8" t="n">
        <v>0</v>
      </c>
      <c r="E51" s="8" t="n">
        <v>0</v>
      </c>
      <c r="F51" s="9" t="n">
        <v>2</v>
      </c>
      <c r="G51" s="9" t="n">
        <v>2</v>
      </c>
      <c r="H51" s="9" t="n">
        <v>2</v>
      </c>
      <c r="I51" s="9" t="n">
        <v>2</v>
      </c>
      <c r="J51" s="9" t="n">
        <v>2</v>
      </c>
      <c r="K51" s="9" t="n">
        <v>2</v>
      </c>
    </row>
    <row r="52">
      <c r="A52" s="12" t="inlineStr">
        <is>
          <t>AI and software engineers</t>
        </is>
      </c>
      <c r="B52" s="6" t="n">
        <v>11000</v>
      </c>
      <c r="C52" s="8" t="n">
        <v>0</v>
      </c>
      <c r="D52" s="8" t="n">
        <v>0</v>
      </c>
      <c r="E52" s="8" t="n">
        <v>1</v>
      </c>
      <c r="F52" s="9" t="n">
        <v>2</v>
      </c>
      <c r="G52" s="9" t="n">
        <v>6</v>
      </c>
      <c r="H52" s="9" t="n">
        <v>12</v>
      </c>
      <c r="I52" s="9" t="n">
        <v>18</v>
      </c>
      <c r="J52" s="9" t="n">
        <v>24</v>
      </c>
      <c r="K52" s="9" t="n">
        <v>30</v>
      </c>
    </row>
    <row r="53">
      <c r="A53" s="12" t="inlineStr">
        <is>
          <t>Account executives</t>
        </is>
      </c>
      <c r="B53" s="6" t="n">
        <v>8000</v>
      </c>
      <c r="C53" s="8" t="n">
        <v>0</v>
      </c>
      <c r="D53" s="8" t="n">
        <v>1</v>
      </c>
      <c r="E53" s="8" t="n">
        <v>0</v>
      </c>
      <c r="F53" s="9" t="n">
        <v>0</v>
      </c>
      <c r="G53" s="9" t="n">
        <v>2</v>
      </c>
      <c r="H53" s="9" t="n">
        <v>6</v>
      </c>
      <c r="I53" s="9" t="n">
        <v>11</v>
      </c>
      <c r="J53" s="9" t="n">
        <v>16</v>
      </c>
      <c r="K53" s="9" t="n">
        <v>22</v>
      </c>
    </row>
    <row r="54">
      <c r="A54" s="12" t="inlineStr">
        <is>
          <t>Sales development and solutions</t>
        </is>
      </c>
      <c r="B54" s="6" t="n">
        <v>6500</v>
      </c>
      <c r="C54" s="8" t="n">
        <v>0</v>
      </c>
      <c r="D54" s="8" t="n">
        <v>0</v>
      </c>
      <c r="E54" s="8" t="n">
        <v>0</v>
      </c>
      <c r="F54" s="9" t="n">
        <v>0</v>
      </c>
      <c r="G54" s="9" t="n">
        <v>1</v>
      </c>
      <c r="H54" s="9" t="n">
        <v>3</v>
      </c>
      <c r="I54" s="9" t="n">
        <v>6</v>
      </c>
      <c r="J54" s="9" t="n">
        <v>10</v>
      </c>
      <c r="K54" s="9" t="n">
        <v>14</v>
      </c>
    </row>
    <row r="55">
      <c r="A55" s="12" t="inlineStr">
        <is>
          <t>Customer success and onboarding</t>
        </is>
      </c>
      <c r="B55" s="6" t="n">
        <v>6000</v>
      </c>
      <c r="C55" s="8" t="n">
        <v>1</v>
      </c>
      <c r="D55" s="8" t="n">
        <v>0</v>
      </c>
      <c r="E55" s="8" t="n">
        <v>0</v>
      </c>
      <c r="F55" s="9" t="n">
        <v>1</v>
      </c>
      <c r="G55" s="9" t="n">
        <v>2</v>
      </c>
      <c r="H55" s="9" t="n">
        <v>5</v>
      </c>
      <c r="I55" s="9" t="n">
        <v>9</v>
      </c>
      <c r="J55" s="9" t="n">
        <v>14</v>
      </c>
      <c r="K55" s="9" t="n">
        <v>19</v>
      </c>
    </row>
    <row r="56">
      <c r="A56" s="12" t="inlineStr">
        <is>
          <t>Marketing</t>
        </is>
      </c>
      <c r="B56" s="6" t="n">
        <v>8000</v>
      </c>
      <c r="C56" s="8" t="n">
        <v>0</v>
      </c>
      <c r="D56" s="8" t="n">
        <v>0</v>
      </c>
      <c r="E56" s="8" t="n">
        <v>0</v>
      </c>
      <c r="F56" s="9" t="n">
        <v>0</v>
      </c>
      <c r="G56" s="9" t="n">
        <v>1</v>
      </c>
      <c r="H56" s="9" t="n">
        <v>3</v>
      </c>
      <c r="I56" s="9" t="n">
        <v>5</v>
      </c>
      <c r="J56" s="9" t="n">
        <v>7</v>
      </c>
      <c r="K56" s="9" t="n">
        <v>9</v>
      </c>
    </row>
    <row r="57">
      <c r="A57" s="12" t="inlineStr">
        <is>
          <t>Finance, people and operations</t>
        </is>
      </c>
      <c r="B57" s="6" t="n">
        <v>8000</v>
      </c>
      <c r="C57" s="8" t="n">
        <v>0</v>
      </c>
      <c r="D57" s="8" t="n">
        <v>0</v>
      </c>
      <c r="E57" s="8" t="n">
        <v>0</v>
      </c>
      <c r="F57" s="9" t="n">
        <v>0</v>
      </c>
      <c r="G57" s="9" t="n">
        <v>1</v>
      </c>
      <c r="H57" s="9" t="n">
        <v>2</v>
      </c>
      <c r="I57" s="9" t="n">
        <v>4</v>
      </c>
      <c r="J57" s="9" t="n">
        <v>6</v>
      </c>
      <c r="K57" s="9" t="n">
        <v>8</v>
      </c>
    </row>
    <row r="58">
      <c r="A58" s="12" t="n"/>
      <c r="B58" s="6" t="n"/>
      <c r="C58" s="8" t="n"/>
      <c r="D58" s="8" t="n"/>
      <c r="E58" s="8" t="n"/>
      <c r="F58" s="9" t="n"/>
      <c r="G58" s="9" t="n"/>
      <c r="H58" s="9" t="n"/>
      <c r="I58" s="9" t="n"/>
      <c r="J58" s="9" t="n"/>
      <c r="K58" s="9" t="n"/>
    </row>
    <row r="59">
      <c r="A59" s="12" t="n"/>
      <c r="B59" s="6" t="n"/>
      <c r="C59" s="8" t="n"/>
      <c r="D59" s="8" t="n"/>
      <c r="E59" s="8" t="n"/>
      <c r="F59" s="9" t="n"/>
      <c r="G59" s="9" t="n"/>
      <c r="H59" s="9" t="n"/>
      <c r="I59" s="9" t="n"/>
      <c r="J59" s="9" t="n"/>
      <c r="K59" s="9" t="n"/>
    </row>
    <row r="60">
      <c r="A60" s="12" t="n"/>
      <c r="B60" s="6" t="n"/>
      <c r="C60" s="8" t="n"/>
      <c r="D60" s="8" t="n"/>
      <c r="E60" s="8" t="n"/>
      <c r="F60" s="9" t="n"/>
      <c r="G60" s="9" t="n"/>
      <c r="H60" s="9" t="n"/>
      <c r="I60" s="9" t="n"/>
      <c r="J60" s="9" t="n"/>
      <c r="K60" s="9" t="n"/>
    </row>
    <row r="62">
      <c r="A62" s="2" t="inlineStr">
        <is>
          <t>Headcount grows in equal steps through each year. Salaries stay flat.</t>
        </is>
      </c>
    </row>
  </sheetData>
  <dataValidations count="1">
    <dataValidation sqref="B28" showDropDown="0" showInputMessage="0" showErrorMessage="1" allowBlank="0" errorTitle="Pricing model" error="Enter 1, 2, 3 or 4." type="whole" operator="between">
      <formula1>1</formula1>
      <formula2>4</formula2>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W113"/>
  <sheetViews>
    <sheetView workbookViewId="0">
      <pane xSplit="3" ySplit="2" topLeftCell="D3" activePane="bottomRight" state="frozen"/>
      <selection pane="topRight"/>
      <selection pane="bottomLeft"/>
      <selection pane="bottomRight" activeCell="A1" sqref="A1"/>
    </sheetView>
  </sheetViews>
  <sheetFormatPr baseColWidth="8" defaultRowHeight="15"/>
  <cols>
    <col width="46" customWidth="1" min="1" max="1"/>
    <col width="12" customWidth="1" min="2" max="2"/>
    <col width="44"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 width="12" customWidth="1" min="15" max="15"/>
    <col width="12" customWidth="1" min="16" max="16"/>
    <col width="12" customWidth="1" min="17" max="17"/>
    <col width="12" customWidth="1" min="18" max="18"/>
    <col width="12" customWidth="1" min="19" max="19"/>
    <col width="12" customWidth="1" min="20" max="20"/>
    <col width="12" customWidth="1" min="21" max="21"/>
    <col width="12" customWidth="1" min="22" max="22"/>
    <col width="12" customWidth="1" min="23" max="23"/>
  </cols>
  <sheetData>
    <row r="1">
      <c r="A1" s="1" t="inlineStr">
        <is>
          <t>Model: summary by year, funding need and 20 quarters of detail</t>
        </is>
      </c>
    </row>
    <row r="2">
      <c r="A2" s="2" t="inlineStr">
        <is>
          <t>Every number on this sheet is a formula. Change the blue cells on the Inputs sheet.</t>
        </is>
      </c>
    </row>
    <row r="4">
      <c r="A4" s="4" t="inlineStr">
        <is>
          <t>Summary by year</t>
        </is>
      </c>
      <c r="B4" s="5" t="n"/>
      <c r="C4" s="5" t="n"/>
      <c r="D4" s="13" t="n">
        <v>1</v>
      </c>
      <c r="E4" s="13" t="n">
        <v>2</v>
      </c>
      <c r="F4" s="13" t="n">
        <v>3</v>
      </c>
      <c r="G4" s="13" t="n">
        <v>4</v>
      </c>
      <c r="H4" s="13" t="n">
        <v>5</v>
      </c>
    </row>
    <row r="5">
      <c r="A5" s="14" t="inlineStr">
        <is>
          <t>Customers at year end</t>
        </is>
      </c>
      <c r="B5" t="inlineStr">
        <is>
          <t>customers</t>
        </is>
      </c>
      <c r="C5" s="2" t="inlineStr">
        <is>
          <t>Quarter 4 of the year</t>
        </is>
      </c>
      <c r="D5" s="15">
        <f>INDEX($D$61:$W$61,1,D$4*4)</f>
        <v/>
      </c>
      <c r="E5" s="15">
        <f>INDEX($D$61:$W$61,1,E$4*4)</f>
        <v/>
      </c>
      <c r="F5" s="15">
        <f>INDEX($D$61:$W$61,1,F$4*4)</f>
        <v/>
      </c>
      <c r="G5" s="15">
        <f>INDEX($D$61:$W$61,1,G$4*4)</f>
        <v/>
      </c>
      <c r="H5" s="15">
        <f>INDEX($D$61:$W$61,1,H$4*4)</f>
        <v/>
      </c>
    </row>
    <row r="6">
      <c r="A6" s="14" t="inlineStr">
        <is>
          <t>Conversations the AI handles</t>
        </is>
      </c>
      <c r="B6" t="inlineStr">
        <is>
          <t>a year</t>
        </is>
      </c>
      <c r="C6" s="2" t="inlineStr">
        <is>
          <t>Sum of the quarters</t>
        </is>
      </c>
      <c r="D6" s="15">
        <f>SUMIF($D$40:$W$40,D$4,$D$66:$W$66)</f>
        <v/>
      </c>
      <c r="E6" s="15">
        <f>SUMIF($D$40:$W$40,E$4,$D$66:$W$66)</f>
        <v/>
      </c>
      <c r="F6" s="15">
        <f>SUMIF($D$40:$W$40,F$4,$D$66:$W$66)</f>
        <v/>
      </c>
      <c r="G6" s="15">
        <f>SUMIF($D$40:$W$40,G$4,$D$66:$W$66)</f>
        <v/>
      </c>
      <c r="H6" s="15">
        <f>SUMIF($D$40:$W$40,H$4,$D$66:$W$66)</f>
        <v/>
      </c>
    </row>
    <row r="7">
      <c r="A7" s="14" t="inlineStr">
        <is>
          <t>Share the AI resolves</t>
        </is>
      </c>
      <c r="B7" t="inlineStr">
        <is>
          <t>%</t>
        </is>
      </c>
      <c r="C7" s="2" t="inlineStr">
        <is>
          <t>From Inputs</t>
        </is>
      </c>
      <c r="D7" s="16">
        <f>INDEX($D$67:$W$67,1,D$4*4)</f>
        <v/>
      </c>
      <c r="E7" s="16">
        <f>INDEX($D$67:$W$67,1,E$4*4)</f>
        <v/>
      </c>
      <c r="F7" s="16">
        <f>INDEX($D$67:$W$67,1,F$4*4)</f>
        <v/>
      </c>
      <c r="G7" s="16">
        <f>INDEX($D$67:$W$67,1,G$4*4)</f>
        <v/>
      </c>
      <c r="H7" s="16">
        <f>INDEX($D$67:$W$67,1,H$4*4)</f>
        <v/>
      </c>
    </row>
    <row r="8">
      <c r="A8" s="17" t="inlineStr">
        <is>
          <t>Revenue</t>
        </is>
      </c>
      <c r="B8" t="inlineStr">
        <is>
          <t>$</t>
        </is>
      </c>
      <c r="C8" s="2" t="inlineStr">
        <is>
          <t>Sum of the quarters</t>
        </is>
      </c>
      <c r="D8" s="18">
        <f>SUMIF($D$40:$W$40,D$4,$D$76:$W$76)</f>
        <v/>
      </c>
      <c r="E8" s="18">
        <f>SUMIF($D$40:$W$40,E$4,$D$76:$W$76)</f>
        <v/>
      </c>
      <c r="F8" s="18">
        <f>SUMIF($D$40:$W$40,F$4,$D$76:$W$76)</f>
        <v/>
      </c>
      <c r="G8" s="18">
        <f>SUMIF($D$40:$W$40,G$4,$D$76:$W$76)</f>
        <v/>
      </c>
      <c r="H8" s="18">
        <f>SUMIF($D$40:$W$40,H$4,$D$76:$W$76)</f>
        <v/>
      </c>
    </row>
    <row r="9">
      <c r="A9" s="17" t="inlineStr">
        <is>
          <t>ARR at year end</t>
        </is>
      </c>
      <c r="B9" t="inlineStr">
        <is>
          <t>$</t>
        </is>
      </c>
      <c r="C9" s="2" t="inlineStr">
        <is>
          <t>Quarter 4 revenue x 4</t>
        </is>
      </c>
      <c r="D9" s="18">
        <f>INDEX($D$77:$W$77,1,D$4*4)</f>
        <v/>
      </c>
      <c r="E9" s="18">
        <f>INDEX($D$77:$W$77,1,E$4*4)</f>
        <v/>
      </c>
      <c r="F9" s="18">
        <f>INDEX($D$77:$W$77,1,F$4*4)</f>
        <v/>
      </c>
      <c r="G9" s="18">
        <f>INDEX($D$77:$W$77,1,G$4*4)</f>
        <v/>
      </c>
      <c r="H9" s="18">
        <f>INDEX($D$77:$W$77,1,H$4*4)</f>
        <v/>
      </c>
    </row>
    <row r="10">
      <c r="A10" s="14" t="inlineStr">
        <is>
          <t>AI cost (model fees, search, tool calls)</t>
        </is>
      </c>
      <c r="B10" t="inlineStr">
        <is>
          <t>$</t>
        </is>
      </c>
      <c r="C10" s="2" t="inlineStr">
        <is>
          <t>Sum of the quarters</t>
        </is>
      </c>
      <c r="D10" s="18">
        <f>SUMIF($D$40:$W$40,D$4,$D$80:$W$80)</f>
        <v/>
      </c>
      <c r="E10" s="18">
        <f>SUMIF($D$40:$W$40,E$4,$D$80:$W$80)</f>
        <v/>
      </c>
      <c r="F10" s="18">
        <f>SUMIF($D$40:$W$40,F$4,$D$80:$W$80)</f>
        <v/>
      </c>
      <c r="G10" s="18">
        <f>SUMIF($D$40:$W$40,G$4,$D$80:$W$80)</f>
        <v/>
      </c>
      <c r="H10" s="18">
        <f>SUMIF($D$40:$W$40,H$4,$D$80:$W$80)</f>
        <v/>
      </c>
    </row>
    <row r="11">
      <c r="A11" s="14" t="inlineStr">
        <is>
          <t>Total cost of revenue</t>
        </is>
      </c>
      <c r="B11" t="inlineStr">
        <is>
          <t>$</t>
        </is>
      </c>
      <c r="C11" s="2" t="inlineStr">
        <is>
          <t>AI cost + hosting + onboarding team</t>
        </is>
      </c>
      <c r="D11" s="18">
        <f>SUMIF($D$40:$W$40,D$4,$D$83:$W$83)</f>
        <v/>
      </c>
      <c r="E11" s="18">
        <f>SUMIF($D$40:$W$40,E$4,$D$83:$W$83)</f>
        <v/>
      </c>
      <c r="F11" s="18">
        <f>SUMIF($D$40:$W$40,F$4,$D$83:$W$83)</f>
        <v/>
      </c>
      <c r="G11" s="18">
        <f>SUMIF($D$40:$W$40,G$4,$D$83:$W$83)</f>
        <v/>
      </c>
      <c r="H11" s="18">
        <f>SUMIF($D$40:$W$40,H$4,$D$83:$W$83)</f>
        <v/>
      </c>
    </row>
    <row r="12">
      <c r="A12" s="14" t="inlineStr">
        <is>
          <t>Gross profit</t>
        </is>
      </c>
      <c r="B12" t="inlineStr">
        <is>
          <t>$</t>
        </is>
      </c>
      <c r="C12" s="2" t="inlineStr">
        <is>
          <t>Revenue - cost of revenue</t>
        </is>
      </c>
      <c r="D12" s="18">
        <f>D8-D11</f>
        <v/>
      </c>
      <c r="E12" s="18">
        <f>E8-E11</f>
        <v/>
      </c>
      <c r="F12" s="18">
        <f>F8-F11</f>
        <v/>
      </c>
      <c r="G12" s="18">
        <f>G8-G11</f>
        <v/>
      </c>
      <c r="H12" s="18">
        <f>H8-H11</f>
        <v/>
      </c>
    </row>
    <row r="13">
      <c r="A13" s="17" t="inlineStr">
        <is>
          <t>Gross margin</t>
        </is>
      </c>
      <c r="B13" t="inlineStr">
        <is>
          <t>%</t>
        </is>
      </c>
      <c r="C13" s="2" t="inlineStr">
        <is>
          <t>Gross profit / revenue</t>
        </is>
      </c>
      <c r="D13" s="16">
        <f>IF(D8=0,0,D12/D8)</f>
        <v/>
      </c>
      <c r="E13" s="16">
        <f>IF(E8=0,0,E12/E8)</f>
        <v/>
      </c>
      <c r="F13" s="16">
        <f>IF(F8=0,0,F12/F8)</f>
        <v/>
      </c>
      <c r="G13" s="16">
        <f>IF(G8=0,0,G12/G8)</f>
        <v/>
      </c>
      <c r="H13" s="16">
        <f>IF(H8=0,0,H12/H8)</f>
        <v/>
      </c>
    </row>
    <row r="14">
      <c r="A14" s="14" t="inlineStr">
        <is>
          <t>Operating costs</t>
        </is>
      </c>
      <c r="B14" t="inlineStr">
        <is>
          <t>$</t>
        </is>
      </c>
      <c r="C14" s="2" t="inlineStr">
        <is>
          <t>Sum of the quarters</t>
        </is>
      </c>
      <c r="D14" s="18">
        <f>SUMIF($D$40:$W$40,D$4,$D$91:$W$91)</f>
        <v/>
      </c>
      <c r="E14" s="18">
        <f>SUMIF($D$40:$W$40,E$4,$D$91:$W$91)</f>
        <v/>
      </c>
      <c r="F14" s="18">
        <f>SUMIF($D$40:$W$40,F$4,$D$91:$W$91)</f>
        <v/>
      </c>
      <c r="G14" s="18">
        <f>SUMIF($D$40:$W$40,G$4,$D$91:$W$91)</f>
        <v/>
      </c>
      <c r="H14" s="18">
        <f>SUMIF($D$40:$W$40,H$4,$D$91:$W$91)</f>
        <v/>
      </c>
    </row>
    <row r="15">
      <c r="A15" s="17" t="inlineStr">
        <is>
          <t>EBITDA</t>
        </is>
      </c>
      <c r="B15" t="inlineStr">
        <is>
          <t>$</t>
        </is>
      </c>
      <c r="C15" s="2" t="inlineStr">
        <is>
          <t>Gross profit - operating costs</t>
        </is>
      </c>
      <c r="D15" s="18">
        <f>D12-D14</f>
        <v/>
      </c>
      <c r="E15" s="18">
        <f>E12-E14</f>
        <v/>
      </c>
      <c r="F15" s="18">
        <f>F12-F14</f>
        <v/>
      </c>
      <c r="G15" s="18">
        <f>G12-G14</f>
        <v/>
      </c>
      <c r="H15" s="18">
        <f>H12-H14</f>
        <v/>
      </c>
    </row>
    <row r="16">
      <c r="A16" s="17" t="inlineStr">
        <is>
          <t>Cash at year end</t>
        </is>
      </c>
      <c r="B16" t="inlineStr">
        <is>
          <t>$</t>
        </is>
      </c>
      <c r="C16" s="2" t="inlineStr">
        <is>
          <t>Quarter 4 of the year</t>
        </is>
      </c>
      <c r="D16" s="18">
        <f>INDEX($D$101:$W$101,1,D$4*4)</f>
        <v/>
      </c>
      <c r="E16" s="18">
        <f>INDEX($D$101:$W$101,1,E$4*4)</f>
        <v/>
      </c>
      <c r="F16" s="18">
        <f>INDEX($D$101:$W$101,1,F$4*4)</f>
        <v/>
      </c>
      <c r="G16" s="18">
        <f>INDEX($D$101:$W$101,1,G$4*4)</f>
        <v/>
      </c>
      <c r="H16" s="18">
        <f>INDEX($D$101:$W$101,1,H$4*4)</f>
        <v/>
      </c>
    </row>
    <row r="17">
      <c r="A17" s="14" t="inlineStr">
        <is>
          <t>Team at year end</t>
        </is>
      </c>
      <c r="B17" t="inlineStr">
        <is>
          <t>people</t>
        </is>
      </c>
      <c r="C17" s="2" t="inlineStr">
        <is>
          <t>From the hiring plan</t>
        </is>
      </c>
      <c r="D17" s="15">
        <f>INDEX($D$53:$W$53,1,D$4*4)</f>
        <v/>
      </c>
      <c r="E17" s="15">
        <f>INDEX($D$53:$W$53,1,E$4*4)</f>
        <v/>
      </c>
      <c r="F17" s="15">
        <f>INDEX($D$53:$W$53,1,F$4*4)</f>
        <v/>
      </c>
      <c r="G17" s="15">
        <f>INDEX($D$53:$W$53,1,G$4*4)</f>
        <v/>
      </c>
      <c r="H17" s="15">
        <f>INDEX($D$53:$W$53,1,H$4*4)</f>
        <v/>
      </c>
    </row>
    <row r="19">
      <c r="A19" s="4" t="inlineStr">
        <is>
          <t>Key outputs: how much money the company needs</t>
        </is>
      </c>
      <c r="B19" s="5" t="n"/>
      <c r="C19" s="5" t="n"/>
      <c r="D19" s="5" t="n"/>
      <c r="E19" s="5" t="n"/>
      <c r="F19" s="5" t="n"/>
      <c r="G19" s="5" t="n"/>
      <c r="H19" s="5" t="n"/>
    </row>
    <row r="20">
      <c r="A20" s="17" t="inlineStr">
        <is>
          <t>Pricing model in use</t>
        </is>
      </c>
      <c r="B20" t="inlineStr"/>
      <c r="C20" s="2" t="inlineStr">
        <is>
          <t>Set on Inputs</t>
        </is>
      </c>
      <c r="D20" s="19">
        <f>CHOOSE(Inputs!$B$28,"Per seat","Per conversation","Per resolution","Hybrid")</f>
        <v/>
      </c>
    </row>
    <row r="21">
      <c r="A21" s="17" t="inlineStr">
        <is>
          <t>Cash burned before the company pays for itself</t>
        </is>
      </c>
      <c r="B21" t="inlineStr">
        <is>
          <t>$</t>
        </is>
      </c>
      <c r="C21" s="2" t="inlineStr">
        <is>
          <t>Deepest point of the cumulative operating cash flow</t>
        </is>
      </c>
      <c r="D21" s="20">
        <f>MAX(0,-MIN($D$98:$W$98))</f>
        <v/>
      </c>
    </row>
    <row r="22">
      <c r="A22" s="17" t="inlineStr">
        <is>
          <t>Quarter the cumulative burn bottoms out</t>
        </is>
      </c>
      <c r="B22" t="inlineStr">
        <is>
          <t>quarter</t>
        </is>
      </c>
      <c r="C22" s="2" t="inlineStr">
        <is>
          <t>After this, the company makes cash</t>
        </is>
      </c>
      <c r="D22" s="21">
        <f>MATCH(MIN($D$98:$W$98),$D$98:$W$98,0)</f>
        <v/>
      </c>
    </row>
    <row r="23">
      <c r="A23" s="17" t="inlineStr">
        <is>
          <t>New money needed</t>
        </is>
      </c>
      <c r="B23" t="inlineStr">
        <is>
          <t>$</t>
        </is>
      </c>
      <c r="C23" s="2" t="inlineStr">
        <is>
          <t>Cash burned + buffer - cash today</t>
        </is>
      </c>
      <c r="D23" s="20">
        <f>MAX(0,D21+Inputs!$B$15-Inputs!$B$9)</f>
        <v/>
      </c>
    </row>
    <row r="24">
      <c r="A24" s="17" t="inlineStr">
        <is>
          <t>Series A needed after the seed</t>
        </is>
      </c>
      <c r="B24" t="inlineStr">
        <is>
          <t>$</t>
        </is>
      </c>
      <c r="C24" s="2" t="inlineStr">
        <is>
          <t>New money needed - seed</t>
        </is>
      </c>
      <c r="D24" s="20">
        <f>MAX(0,D23-Inputs!$B$11)</f>
        <v/>
      </c>
    </row>
    <row r="25">
      <c r="A25" s="17" t="inlineStr">
        <is>
          <t>Lowest cash balance</t>
        </is>
      </c>
      <c r="B25" t="inlineStr">
        <is>
          <t>$</t>
        </is>
      </c>
      <c r="C25" s="2" t="inlineStr">
        <is>
          <t>With the rounds on Inputs</t>
        </is>
      </c>
      <c r="D25" s="20">
        <f>MIN($D$101:$W$101)</f>
        <v/>
      </c>
    </row>
    <row r="26">
      <c r="A26" s="17" t="inlineStr">
        <is>
          <t>Quarter of the lowest cash balance</t>
        </is>
      </c>
      <c r="B26" t="inlineStr">
        <is>
          <t>quarter</t>
        </is>
      </c>
      <c r="C26" s="2" t="inlineStr"/>
      <c r="D26" s="21">
        <f>MATCH(D25,$D$101:$W$101,0)</f>
        <v/>
      </c>
    </row>
    <row r="27">
      <c r="A27" s="17" t="inlineStr">
        <is>
          <t>First quarter the cash runs out</t>
        </is>
      </c>
      <c r="B27" t="inlineStr">
        <is>
          <t>quarter</t>
        </is>
      </c>
      <c r="C27" s="2" t="inlineStr">
        <is>
          <t>Raise before this quarter</t>
        </is>
      </c>
      <c r="D27" s="21">
        <f>IFERROR(MATCH(1,$D$102:$W$102,0),"Never")</f>
        <v/>
      </c>
    </row>
    <row r="28">
      <c r="A28" s="17" t="inlineStr">
        <is>
          <t>First quarter with positive EBITDA</t>
        </is>
      </c>
      <c r="B28" t="inlineStr">
        <is>
          <t>quarter</t>
        </is>
      </c>
      <c r="C28" s="2" t="inlineStr"/>
      <c r="D28" s="21">
        <f>IFERROR(MATCH(1,$D$103:$W$103,0),"Not yet")</f>
        <v/>
      </c>
    </row>
    <row r="29">
      <c r="A29" s="17" t="inlineStr">
        <is>
          <t>Model checks</t>
        </is>
      </c>
      <c r="B29" t="inlineStr"/>
      <c r="C29" s="2" t="inlineStr">
        <is>
          <t>Every cash check is 0</t>
        </is>
      </c>
      <c r="D29" s="19">
        <f>IF(AND(MAX($D$104:$W$104)&lt;0.01,MIN($D$104:$W$104)&gt;-0.01),"OK","Check the model")</f>
        <v/>
      </c>
    </row>
    <row r="31">
      <c r="A31" s="4" t="inlineStr">
        <is>
          <t>The four pricing models compared (year 5)</t>
        </is>
      </c>
      <c r="B31" s="5" t="n"/>
      <c r="C31" s="5" t="n"/>
      <c r="D31" s="5" t="n"/>
      <c r="E31" s="5" t="n"/>
      <c r="F31" s="5" t="n"/>
      <c r="G31" s="5" t="n"/>
      <c r="H31" s="5" t="n"/>
    </row>
    <row r="32" ht="32" customHeight="1">
      <c r="A32" s="3" t="inlineStr">
        <is>
          <t>Pricing model</t>
        </is>
      </c>
      <c r="B32" s="3" t="n"/>
      <c r="C32" s="3" t="inlineStr">
        <is>
          <t>What the customer pays for</t>
        </is>
      </c>
      <c r="D32" s="3" t="inlineStr">
        <is>
          <t>Revenue, year 5</t>
        </is>
      </c>
      <c r="E32" s="3" t="inlineStr">
        <is>
          <t>ARR, end of year 5</t>
        </is>
      </c>
      <c r="F32" s="3" t="inlineStr">
        <is>
          <t>Gross margin, year 5</t>
        </is>
      </c>
      <c r="G32" s="3" t="inlineStr">
        <is>
          <t>EBITDA, year 5</t>
        </is>
      </c>
      <c r="H32" s="3" t="inlineStr">
        <is>
          <t>Cash burned before profit</t>
        </is>
      </c>
    </row>
    <row r="33">
      <c r="A33" s="17" t="inlineStr">
        <is>
          <t>Per seat</t>
        </is>
      </c>
      <c r="C33" s="2" t="inlineStr">
        <is>
          <t>Each human agent on the support team</t>
        </is>
      </c>
      <c r="D33" s="18">
        <f>SUMIF($D$40:$W$40,5,$D$72:$W$72)</f>
        <v/>
      </c>
      <c r="E33" s="18">
        <f>W72*4</f>
        <v/>
      </c>
      <c r="F33" s="16">
        <f>IF(D33=0,0,1-SUMIF($D$40:$W$40,5,$D$83:$W$83)/D33)</f>
        <v/>
      </c>
      <c r="G33" s="18">
        <f>D33-SUMIF($D$40:$W$40,5,$D$83:$W$83)-SUMIF($D$40:$W$40,5,$D$91:$W$91)</f>
        <v/>
      </c>
      <c r="H33" s="18">
        <f>MAX(0,-MIN($D$107:$W$107))</f>
        <v/>
      </c>
    </row>
    <row r="34">
      <c r="A34" s="17" t="inlineStr">
        <is>
          <t>Per conversation</t>
        </is>
      </c>
      <c r="C34" s="2" t="inlineStr">
        <is>
          <t>Every conversation the AI handles</t>
        </is>
      </c>
      <c r="D34" s="18">
        <f>SUMIF($D$40:$W$40,5,$D$73:$W$73)</f>
        <v/>
      </c>
      <c r="E34" s="18">
        <f>W73*4</f>
        <v/>
      </c>
      <c r="F34" s="16">
        <f>IF(D34=0,0,1-SUMIF($D$40:$W$40,5,$D$83:$W$83)/D34)</f>
        <v/>
      </c>
      <c r="G34" s="18">
        <f>D34-SUMIF($D$40:$W$40,5,$D$83:$W$83)-SUMIF($D$40:$W$40,5,$D$91:$W$91)</f>
        <v/>
      </c>
      <c r="H34" s="18">
        <f>MAX(0,-MIN($D$109:$W$109))</f>
        <v/>
      </c>
    </row>
    <row r="35">
      <c r="A35" s="17" t="inlineStr">
        <is>
          <t>Per resolution</t>
        </is>
      </c>
      <c r="C35" s="2" t="inlineStr">
        <is>
          <t>Only conversations the AI resolves</t>
        </is>
      </c>
      <c r="D35" s="18">
        <f>SUMIF($D$40:$W$40,5,$D$74:$W$74)</f>
        <v/>
      </c>
      <c r="E35" s="18">
        <f>W74*4</f>
        <v/>
      </c>
      <c r="F35" s="16">
        <f>IF(D35=0,0,1-SUMIF($D$40:$W$40,5,$D$83:$W$83)/D35)</f>
        <v/>
      </c>
      <c r="G35" s="18">
        <f>D35-SUMIF($D$40:$W$40,5,$D$83:$W$83)-SUMIF($D$40:$W$40,5,$D$91:$W$91)</f>
        <v/>
      </c>
      <c r="H35" s="18">
        <f>MAX(0,-MIN($D$111:$W$111))</f>
        <v/>
      </c>
    </row>
    <row r="36">
      <c r="A36" s="17" t="inlineStr">
        <is>
          <t>Hybrid (platform fee + per resolution)</t>
        </is>
      </c>
      <c r="C36" s="2" t="inlineStr">
        <is>
          <t>A monthly fee plus each resolution</t>
        </is>
      </c>
      <c r="D36" s="18">
        <f>SUMIF($D$40:$W$40,5,$D$75:$W$75)</f>
        <v/>
      </c>
      <c r="E36" s="18">
        <f>W75*4</f>
        <v/>
      </c>
      <c r="F36" s="16">
        <f>IF(D36=0,0,1-SUMIF($D$40:$W$40,5,$D$83:$W$83)/D36)</f>
        <v/>
      </c>
      <c r="G36" s="18">
        <f>D36-SUMIF($D$40:$W$40,5,$D$83:$W$83)-SUMIF($D$40:$W$40,5,$D$91:$W$91)</f>
        <v/>
      </c>
      <c r="H36" s="18">
        <f>MAX(0,-MIN($D$113:$W$113))</f>
        <v/>
      </c>
    </row>
    <row r="37">
      <c r="A37" s="2" t="inlineStr">
        <is>
          <t>Costs are the same in every row; only the revenue changes. Cash burned = deepest point of cumulative operating cash flow (if that is the last quarter, the company is still burning cash).</t>
        </is>
      </c>
    </row>
    <row r="38">
      <c r="A38" s="4" t="inlineStr">
        <is>
          <t>Quarterly detail</t>
        </is>
      </c>
      <c r="B38" s="5" t="n"/>
      <c r="C38" s="5" t="n"/>
      <c r="D38" s="22" t="inlineStr">
        <is>
          <t>Y1 Q1</t>
        </is>
      </c>
      <c r="E38" s="22" t="inlineStr">
        <is>
          <t>Y1 Q2</t>
        </is>
      </c>
      <c r="F38" s="22" t="inlineStr">
        <is>
          <t>Y1 Q3</t>
        </is>
      </c>
      <c r="G38" s="22" t="inlineStr">
        <is>
          <t>Y1 Q4</t>
        </is>
      </c>
      <c r="H38" s="22" t="inlineStr">
        <is>
          <t>Y2 Q1</t>
        </is>
      </c>
      <c r="I38" s="22" t="inlineStr">
        <is>
          <t>Y2 Q2</t>
        </is>
      </c>
      <c r="J38" s="22" t="inlineStr">
        <is>
          <t>Y2 Q3</t>
        </is>
      </c>
      <c r="K38" s="22" t="inlineStr">
        <is>
          <t>Y2 Q4</t>
        </is>
      </c>
      <c r="L38" s="22" t="inlineStr">
        <is>
          <t>Y3 Q1</t>
        </is>
      </c>
      <c r="M38" s="22" t="inlineStr">
        <is>
          <t>Y3 Q2</t>
        </is>
      </c>
      <c r="N38" s="22" t="inlineStr">
        <is>
          <t>Y3 Q3</t>
        </is>
      </c>
      <c r="O38" s="22" t="inlineStr">
        <is>
          <t>Y3 Q4</t>
        </is>
      </c>
      <c r="P38" s="22" t="inlineStr">
        <is>
          <t>Y4 Q1</t>
        </is>
      </c>
      <c r="Q38" s="22" t="inlineStr">
        <is>
          <t>Y4 Q2</t>
        </is>
      </c>
      <c r="R38" s="22" t="inlineStr">
        <is>
          <t>Y4 Q3</t>
        </is>
      </c>
      <c r="S38" s="22" t="inlineStr">
        <is>
          <t>Y4 Q4</t>
        </is>
      </c>
      <c r="T38" s="22" t="inlineStr">
        <is>
          <t>Y5 Q1</t>
        </is>
      </c>
      <c r="U38" s="22" t="inlineStr">
        <is>
          <t>Y5 Q2</t>
        </is>
      </c>
      <c r="V38" s="22" t="inlineStr">
        <is>
          <t>Y5 Q3</t>
        </is>
      </c>
      <c r="W38" s="22" t="inlineStr">
        <is>
          <t>Y5 Q4</t>
        </is>
      </c>
    </row>
    <row r="39">
      <c r="A39" s="14" t="inlineStr">
        <is>
          <t>Quarter</t>
        </is>
      </c>
      <c r="B39" t="inlineStr">
        <is>
          <t>#</t>
        </is>
      </c>
      <c r="C39" s="2" t="inlineStr">
        <is>
          <t>Quarter 1 = the first quarter of the model</t>
        </is>
      </c>
      <c r="D39" s="23">
        <f>1</f>
        <v/>
      </c>
      <c r="E39" s="23">
        <f>D39+1</f>
        <v/>
      </c>
      <c r="F39" s="23">
        <f>E39+1</f>
        <v/>
      </c>
      <c r="G39" s="23">
        <f>F39+1</f>
        <v/>
      </c>
      <c r="H39" s="23">
        <f>G39+1</f>
        <v/>
      </c>
      <c r="I39" s="23">
        <f>H39+1</f>
        <v/>
      </c>
      <c r="J39" s="23">
        <f>I39+1</f>
        <v/>
      </c>
      <c r="K39" s="23">
        <f>J39+1</f>
        <v/>
      </c>
      <c r="L39" s="23">
        <f>K39+1</f>
        <v/>
      </c>
      <c r="M39" s="23">
        <f>L39+1</f>
        <v/>
      </c>
      <c r="N39" s="23">
        <f>M39+1</f>
        <v/>
      </c>
      <c r="O39" s="23">
        <f>N39+1</f>
        <v/>
      </c>
      <c r="P39" s="23">
        <f>O39+1</f>
        <v/>
      </c>
      <c r="Q39" s="23">
        <f>P39+1</f>
        <v/>
      </c>
      <c r="R39" s="23">
        <f>Q39+1</f>
        <v/>
      </c>
      <c r="S39" s="23">
        <f>R39+1</f>
        <v/>
      </c>
      <c r="T39" s="23">
        <f>S39+1</f>
        <v/>
      </c>
      <c r="U39" s="23">
        <f>T39+1</f>
        <v/>
      </c>
      <c r="V39" s="23">
        <f>U39+1</f>
        <v/>
      </c>
      <c r="W39" s="23">
        <f>V39+1</f>
        <v/>
      </c>
    </row>
    <row r="40">
      <c r="A40" s="14" t="inlineStr">
        <is>
          <t>Year</t>
        </is>
      </c>
      <c r="B40" t="inlineStr">
        <is>
          <t>#</t>
        </is>
      </c>
      <c r="C40" s="2" t="inlineStr">
        <is>
          <t>Quarters 1-4 = year 1</t>
        </is>
      </c>
      <c r="D40" s="23">
        <f>INT((D39-1)/4)+1</f>
        <v/>
      </c>
      <c r="E40" s="23">
        <f>INT((E39-1)/4)+1</f>
        <v/>
      </c>
      <c r="F40" s="23">
        <f>INT((F39-1)/4)+1</f>
        <v/>
      </c>
      <c r="G40" s="23">
        <f>INT((G39-1)/4)+1</f>
        <v/>
      </c>
      <c r="H40" s="23">
        <f>INT((H39-1)/4)+1</f>
        <v/>
      </c>
      <c r="I40" s="23">
        <f>INT((I39-1)/4)+1</f>
        <v/>
      </c>
      <c r="J40" s="23">
        <f>INT((J39-1)/4)+1</f>
        <v/>
      </c>
      <c r="K40" s="23">
        <f>INT((K39-1)/4)+1</f>
        <v/>
      </c>
      <c r="L40" s="23">
        <f>INT((L39-1)/4)+1</f>
        <v/>
      </c>
      <c r="M40" s="23">
        <f>INT((M39-1)/4)+1</f>
        <v/>
      </c>
      <c r="N40" s="23">
        <f>INT((N39-1)/4)+1</f>
        <v/>
      </c>
      <c r="O40" s="23">
        <f>INT((O39-1)/4)+1</f>
        <v/>
      </c>
      <c r="P40" s="23">
        <f>INT((P39-1)/4)+1</f>
        <v/>
      </c>
      <c r="Q40" s="23">
        <f>INT((Q39-1)/4)+1</f>
        <v/>
      </c>
      <c r="R40" s="23">
        <f>INT((R39-1)/4)+1</f>
        <v/>
      </c>
      <c r="S40" s="23">
        <f>INT((S39-1)/4)+1</f>
        <v/>
      </c>
      <c r="T40" s="23">
        <f>INT((T39-1)/4)+1</f>
        <v/>
      </c>
      <c r="U40" s="23">
        <f>INT((U39-1)/4)+1</f>
        <v/>
      </c>
      <c r="V40" s="23">
        <f>INT((V39-1)/4)+1</f>
        <v/>
      </c>
      <c r="W40" s="23">
        <f>INT((W39-1)/4)+1</f>
        <v/>
      </c>
    </row>
    <row r="41">
      <c r="A41" s="14" t="inlineStr">
        <is>
          <t>Quarter of the year</t>
        </is>
      </c>
      <c r="B41" t="inlineStr">
        <is>
          <t>#</t>
        </is>
      </c>
      <c r="C41" s="2" t="inlineStr">
        <is>
          <t>1 to 4</t>
        </is>
      </c>
      <c r="D41" s="23">
        <f>D39-(D40-1)*4</f>
        <v/>
      </c>
      <c r="E41" s="23">
        <f>E39-(E40-1)*4</f>
        <v/>
      </c>
      <c r="F41" s="23">
        <f>F39-(F40-1)*4</f>
        <v/>
      </c>
      <c r="G41" s="23">
        <f>G39-(G40-1)*4</f>
        <v/>
      </c>
      <c r="H41" s="23">
        <f>H39-(H40-1)*4</f>
        <v/>
      </c>
      <c r="I41" s="23">
        <f>I39-(I40-1)*4</f>
        <v/>
      </c>
      <c r="J41" s="23">
        <f>J39-(J40-1)*4</f>
        <v/>
      </c>
      <c r="K41" s="23">
        <f>K39-(K40-1)*4</f>
        <v/>
      </c>
      <c r="L41" s="23">
        <f>L39-(L40-1)*4</f>
        <v/>
      </c>
      <c r="M41" s="23">
        <f>M39-(M40-1)*4</f>
        <v/>
      </c>
      <c r="N41" s="23">
        <f>N39-(N40-1)*4</f>
        <v/>
      </c>
      <c r="O41" s="23">
        <f>O39-(O40-1)*4</f>
        <v/>
      </c>
      <c r="P41" s="23">
        <f>P39-(P40-1)*4</f>
        <v/>
      </c>
      <c r="Q41" s="23">
        <f>Q39-(Q40-1)*4</f>
        <v/>
      </c>
      <c r="R41" s="23">
        <f>R39-(R40-1)*4</f>
        <v/>
      </c>
      <c r="S41" s="23">
        <f>S39-(S40-1)*4</f>
        <v/>
      </c>
      <c r="T41" s="23">
        <f>T39-(T40-1)*4</f>
        <v/>
      </c>
      <c r="U41" s="23">
        <f>U39-(U40-1)*4</f>
        <v/>
      </c>
      <c r="V41" s="23">
        <f>V39-(V40-1)*4</f>
        <v/>
      </c>
      <c r="W41" s="23">
        <f>W39-(W40-1)*4</f>
        <v/>
      </c>
    </row>
    <row r="42">
      <c r="A42" s="4" t="inlineStr">
        <is>
          <t>Team: headcount at the end of the quarter</t>
        </is>
      </c>
      <c r="B42" s="5" t="n"/>
      <c r="C42" s="5" t="n"/>
      <c r="D42" s="5" t="n"/>
      <c r="E42" s="5" t="n"/>
      <c r="F42" s="5" t="n"/>
      <c r="G42" s="5" t="n"/>
      <c r="H42" s="5" t="n"/>
      <c r="I42" s="5" t="n"/>
      <c r="J42" s="5" t="n"/>
      <c r="K42" s="5" t="n"/>
      <c r="L42" s="5" t="n"/>
      <c r="M42" s="5" t="n"/>
      <c r="N42" s="5" t="n"/>
      <c r="O42" s="5" t="n"/>
      <c r="P42" s="5" t="n"/>
      <c r="Q42" s="5" t="n"/>
      <c r="R42" s="5" t="n"/>
      <c r="S42" s="5" t="n"/>
      <c r="T42" s="5" t="n"/>
      <c r="U42" s="5" t="n"/>
      <c r="V42" s="5" t="n"/>
      <c r="W42" s="5" t="n"/>
    </row>
    <row r="43">
      <c r="A43" s="14">
        <f>IF(Inputs!$A$51="","",Inputs!$A$51)</f>
        <v/>
      </c>
      <c r="B43" t="inlineStr">
        <is>
          <t>people</t>
        </is>
      </c>
      <c r="C43" s="2" t="inlineStr">
        <is>
          <t>Grows in equal steps through the year</t>
        </is>
      </c>
      <c r="D43" s="24">
        <f>INDEX(Inputs!$F$51:$K$51,1,D$40)+(INDEX(Inputs!$F$51:$K$51,1,D$40+1)-INDEX(Inputs!$F$51:$K$51,1,D$40))*D$41/4</f>
        <v/>
      </c>
      <c r="E43" s="24">
        <f>INDEX(Inputs!$F$51:$K$51,1,E$40)+(INDEX(Inputs!$F$51:$K$51,1,E$40+1)-INDEX(Inputs!$F$51:$K$51,1,E$40))*E$41/4</f>
        <v/>
      </c>
      <c r="F43" s="24">
        <f>INDEX(Inputs!$F$51:$K$51,1,F$40)+(INDEX(Inputs!$F$51:$K$51,1,F$40+1)-INDEX(Inputs!$F$51:$K$51,1,F$40))*F$41/4</f>
        <v/>
      </c>
      <c r="G43" s="24">
        <f>INDEX(Inputs!$F$51:$K$51,1,G$40)+(INDEX(Inputs!$F$51:$K$51,1,G$40+1)-INDEX(Inputs!$F$51:$K$51,1,G$40))*G$41/4</f>
        <v/>
      </c>
      <c r="H43" s="24">
        <f>INDEX(Inputs!$F$51:$K$51,1,H$40)+(INDEX(Inputs!$F$51:$K$51,1,H$40+1)-INDEX(Inputs!$F$51:$K$51,1,H$40))*H$41/4</f>
        <v/>
      </c>
      <c r="I43" s="24">
        <f>INDEX(Inputs!$F$51:$K$51,1,I$40)+(INDEX(Inputs!$F$51:$K$51,1,I$40+1)-INDEX(Inputs!$F$51:$K$51,1,I$40))*I$41/4</f>
        <v/>
      </c>
      <c r="J43" s="24">
        <f>INDEX(Inputs!$F$51:$K$51,1,J$40)+(INDEX(Inputs!$F$51:$K$51,1,J$40+1)-INDEX(Inputs!$F$51:$K$51,1,J$40))*J$41/4</f>
        <v/>
      </c>
      <c r="K43" s="24">
        <f>INDEX(Inputs!$F$51:$K$51,1,K$40)+(INDEX(Inputs!$F$51:$K$51,1,K$40+1)-INDEX(Inputs!$F$51:$K$51,1,K$40))*K$41/4</f>
        <v/>
      </c>
      <c r="L43" s="24">
        <f>INDEX(Inputs!$F$51:$K$51,1,L$40)+(INDEX(Inputs!$F$51:$K$51,1,L$40+1)-INDEX(Inputs!$F$51:$K$51,1,L$40))*L$41/4</f>
        <v/>
      </c>
      <c r="M43" s="24">
        <f>INDEX(Inputs!$F$51:$K$51,1,M$40)+(INDEX(Inputs!$F$51:$K$51,1,M$40+1)-INDEX(Inputs!$F$51:$K$51,1,M$40))*M$41/4</f>
        <v/>
      </c>
      <c r="N43" s="24">
        <f>INDEX(Inputs!$F$51:$K$51,1,N$40)+(INDEX(Inputs!$F$51:$K$51,1,N$40+1)-INDEX(Inputs!$F$51:$K$51,1,N$40))*N$41/4</f>
        <v/>
      </c>
      <c r="O43" s="24">
        <f>INDEX(Inputs!$F$51:$K$51,1,O$40)+(INDEX(Inputs!$F$51:$K$51,1,O$40+1)-INDEX(Inputs!$F$51:$K$51,1,O$40))*O$41/4</f>
        <v/>
      </c>
      <c r="P43" s="24">
        <f>INDEX(Inputs!$F$51:$K$51,1,P$40)+(INDEX(Inputs!$F$51:$K$51,1,P$40+1)-INDEX(Inputs!$F$51:$K$51,1,P$40))*P$41/4</f>
        <v/>
      </c>
      <c r="Q43" s="24">
        <f>INDEX(Inputs!$F$51:$K$51,1,Q$40)+(INDEX(Inputs!$F$51:$K$51,1,Q$40+1)-INDEX(Inputs!$F$51:$K$51,1,Q$40))*Q$41/4</f>
        <v/>
      </c>
      <c r="R43" s="24">
        <f>INDEX(Inputs!$F$51:$K$51,1,R$40)+(INDEX(Inputs!$F$51:$K$51,1,R$40+1)-INDEX(Inputs!$F$51:$K$51,1,R$40))*R$41/4</f>
        <v/>
      </c>
      <c r="S43" s="24">
        <f>INDEX(Inputs!$F$51:$K$51,1,S$40)+(INDEX(Inputs!$F$51:$K$51,1,S$40+1)-INDEX(Inputs!$F$51:$K$51,1,S$40))*S$41/4</f>
        <v/>
      </c>
      <c r="T43" s="24">
        <f>INDEX(Inputs!$F$51:$K$51,1,T$40)+(INDEX(Inputs!$F$51:$K$51,1,T$40+1)-INDEX(Inputs!$F$51:$K$51,1,T$40))*T$41/4</f>
        <v/>
      </c>
      <c r="U43" s="24">
        <f>INDEX(Inputs!$F$51:$K$51,1,U$40)+(INDEX(Inputs!$F$51:$K$51,1,U$40+1)-INDEX(Inputs!$F$51:$K$51,1,U$40))*U$41/4</f>
        <v/>
      </c>
      <c r="V43" s="24">
        <f>INDEX(Inputs!$F$51:$K$51,1,V$40)+(INDEX(Inputs!$F$51:$K$51,1,V$40+1)-INDEX(Inputs!$F$51:$K$51,1,V$40))*V$41/4</f>
        <v/>
      </c>
      <c r="W43" s="24">
        <f>INDEX(Inputs!$F$51:$K$51,1,W$40)+(INDEX(Inputs!$F$51:$K$51,1,W$40+1)-INDEX(Inputs!$F$51:$K$51,1,W$40))*W$41/4</f>
        <v/>
      </c>
    </row>
    <row r="44">
      <c r="A44" s="14">
        <f>IF(Inputs!$A$52="","",Inputs!$A$52)</f>
        <v/>
      </c>
      <c r="B44" t="inlineStr">
        <is>
          <t>people</t>
        </is>
      </c>
      <c r="C44" s="2" t="inlineStr">
        <is>
          <t>Grows in equal steps through the year</t>
        </is>
      </c>
      <c r="D44" s="24">
        <f>INDEX(Inputs!$F$52:$K$52,1,D$40)+(INDEX(Inputs!$F$52:$K$52,1,D$40+1)-INDEX(Inputs!$F$52:$K$52,1,D$40))*D$41/4</f>
        <v/>
      </c>
      <c r="E44" s="24">
        <f>INDEX(Inputs!$F$52:$K$52,1,E$40)+(INDEX(Inputs!$F$52:$K$52,1,E$40+1)-INDEX(Inputs!$F$52:$K$52,1,E$40))*E$41/4</f>
        <v/>
      </c>
      <c r="F44" s="24">
        <f>INDEX(Inputs!$F$52:$K$52,1,F$40)+(INDEX(Inputs!$F$52:$K$52,1,F$40+1)-INDEX(Inputs!$F$52:$K$52,1,F$40))*F$41/4</f>
        <v/>
      </c>
      <c r="G44" s="24">
        <f>INDEX(Inputs!$F$52:$K$52,1,G$40)+(INDEX(Inputs!$F$52:$K$52,1,G$40+1)-INDEX(Inputs!$F$52:$K$52,1,G$40))*G$41/4</f>
        <v/>
      </c>
      <c r="H44" s="24">
        <f>INDEX(Inputs!$F$52:$K$52,1,H$40)+(INDEX(Inputs!$F$52:$K$52,1,H$40+1)-INDEX(Inputs!$F$52:$K$52,1,H$40))*H$41/4</f>
        <v/>
      </c>
      <c r="I44" s="24">
        <f>INDEX(Inputs!$F$52:$K$52,1,I$40)+(INDEX(Inputs!$F$52:$K$52,1,I$40+1)-INDEX(Inputs!$F$52:$K$52,1,I$40))*I$41/4</f>
        <v/>
      </c>
      <c r="J44" s="24">
        <f>INDEX(Inputs!$F$52:$K$52,1,J$40)+(INDEX(Inputs!$F$52:$K$52,1,J$40+1)-INDEX(Inputs!$F$52:$K$52,1,J$40))*J$41/4</f>
        <v/>
      </c>
      <c r="K44" s="24">
        <f>INDEX(Inputs!$F$52:$K$52,1,K$40)+(INDEX(Inputs!$F$52:$K$52,1,K$40+1)-INDEX(Inputs!$F$52:$K$52,1,K$40))*K$41/4</f>
        <v/>
      </c>
      <c r="L44" s="24">
        <f>INDEX(Inputs!$F$52:$K$52,1,L$40)+(INDEX(Inputs!$F$52:$K$52,1,L$40+1)-INDEX(Inputs!$F$52:$K$52,1,L$40))*L$41/4</f>
        <v/>
      </c>
      <c r="M44" s="24">
        <f>INDEX(Inputs!$F$52:$K$52,1,M$40)+(INDEX(Inputs!$F$52:$K$52,1,M$40+1)-INDEX(Inputs!$F$52:$K$52,1,M$40))*M$41/4</f>
        <v/>
      </c>
      <c r="N44" s="24">
        <f>INDEX(Inputs!$F$52:$K$52,1,N$40)+(INDEX(Inputs!$F$52:$K$52,1,N$40+1)-INDEX(Inputs!$F$52:$K$52,1,N$40))*N$41/4</f>
        <v/>
      </c>
      <c r="O44" s="24">
        <f>INDEX(Inputs!$F$52:$K$52,1,O$40)+(INDEX(Inputs!$F$52:$K$52,1,O$40+1)-INDEX(Inputs!$F$52:$K$52,1,O$40))*O$41/4</f>
        <v/>
      </c>
      <c r="P44" s="24">
        <f>INDEX(Inputs!$F$52:$K$52,1,P$40)+(INDEX(Inputs!$F$52:$K$52,1,P$40+1)-INDEX(Inputs!$F$52:$K$52,1,P$40))*P$41/4</f>
        <v/>
      </c>
      <c r="Q44" s="24">
        <f>INDEX(Inputs!$F$52:$K$52,1,Q$40)+(INDEX(Inputs!$F$52:$K$52,1,Q$40+1)-INDEX(Inputs!$F$52:$K$52,1,Q$40))*Q$41/4</f>
        <v/>
      </c>
      <c r="R44" s="24">
        <f>INDEX(Inputs!$F$52:$K$52,1,R$40)+(INDEX(Inputs!$F$52:$K$52,1,R$40+1)-INDEX(Inputs!$F$52:$K$52,1,R$40))*R$41/4</f>
        <v/>
      </c>
      <c r="S44" s="24">
        <f>INDEX(Inputs!$F$52:$K$52,1,S$40)+(INDEX(Inputs!$F$52:$K$52,1,S$40+1)-INDEX(Inputs!$F$52:$K$52,1,S$40))*S$41/4</f>
        <v/>
      </c>
      <c r="T44" s="24">
        <f>INDEX(Inputs!$F$52:$K$52,1,T$40)+(INDEX(Inputs!$F$52:$K$52,1,T$40+1)-INDEX(Inputs!$F$52:$K$52,1,T$40))*T$41/4</f>
        <v/>
      </c>
      <c r="U44" s="24">
        <f>INDEX(Inputs!$F$52:$K$52,1,U$40)+(INDEX(Inputs!$F$52:$K$52,1,U$40+1)-INDEX(Inputs!$F$52:$K$52,1,U$40))*U$41/4</f>
        <v/>
      </c>
      <c r="V44" s="24">
        <f>INDEX(Inputs!$F$52:$K$52,1,V$40)+(INDEX(Inputs!$F$52:$K$52,1,V$40+1)-INDEX(Inputs!$F$52:$K$52,1,V$40))*V$41/4</f>
        <v/>
      </c>
      <c r="W44" s="24">
        <f>INDEX(Inputs!$F$52:$K$52,1,W$40)+(INDEX(Inputs!$F$52:$K$52,1,W$40+1)-INDEX(Inputs!$F$52:$K$52,1,W$40))*W$41/4</f>
        <v/>
      </c>
    </row>
    <row r="45">
      <c r="A45" s="14">
        <f>IF(Inputs!$A$53="","",Inputs!$A$53)</f>
        <v/>
      </c>
      <c r="B45" t="inlineStr">
        <is>
          <t>people</t>
        </is>
      </c>
      <c r="C45" s="2" t="inlineStr">
        <is>
          <t>Grows in equal steps through the year</t>
        </is>
      </c>
      <c r="D45" s="24">
        <f>INDEX(Inputs!$F$53:$K$53,1,D$40)+(INDEX(Inputs!$F$53:$K$53,1,D$40+1)-INDEX(Inputs!$F$53:$K$53,1,D$40))*D$41/4</f>
        <v/>
      </c>
      <c r="E45" s="24">
        <f>INDEX(Inputs!$F$53:$K$53,1,E$40)+(INDEX(Inputs!$F$53:$K$53,1,E$40+1)-INDEX(Inputs!$F$53:$K$53,1,E$40))*E$41/4</f>
        <v/>
      </c>
      <c r="F45" s="24">
        <f>INDEX(Inputs!$F$53:$K$53,1,F$40)+(INDEX(Inputs!$F$53:$K$53,1,F$40+1)-INDEX(Inputs!$F$53:$K$53,1,F$40))*F$41/4</f>
        <v/>
      </c>
      <c r="G45" s="24">
        <f>INDEX(Inputs!$F$53:$K$53,1,G$40)+(INDEX(Inputs!$F$53:$K$53,1,G$40+1)-INDEX(Inputs!$F$53:$K$53,1,G$40))*G$41/4</f>
        <v/>
      </c>
      <c r="H45" s="24">
        <f>INDEX(Inputs!$F$53:$K$53,1,H$40)+(INDEX(Inputs!$F$53:$K$53,1,H$40+1)-INDEX(Inputs!$F$53:$K$53,1,H$40))*H$41/4</f>
        <v/>
      </c>
      <c r="I45" s="24">
        <f>INDEX(Inputs!$F$53:$K$53,1,I$40)+(INDEX(Inputs!$F$53:$K$53,1,I$40+1)-INDEX(Inputs!$F$53:$K$53,1,I$40))*I$41/4</f>
        <v/>
      </c>
      <c r="J45" s="24">
        <f>INDEX(Inputs!$F$53:$K$53,1,J$40)+(INDEX(Inputs!$F$53:$K$53,1,J$40+1)-INDEX(Inputs!$F$53:$K$53,1,J$40))*J$41/4</f>
        <v/>
      </c>
      <c r="K45" s="24">
        <f>INDEX(Inputs!$F$53:$K$53,1,K$40)+(INDEX(Inputs!$F$53:$K$53,1,K$40+1)-INDEX(Inputs!$F$53:$K$53,1,K$40))*K$41/4</f>
        <v/>
      </c>
      <c r="L45" s="24">
        <f>INDEX(Inputs!$F$53:$K$53,1,L$40)+(INDEX(Inputs!$F$53:$K$53,1,L$40+1)-INDEX(Inputs!$F$53:$K$53,1,L$40))*L$41/4</f>
        <v/>
      </c>
      <c r="M45" s="24">
        <f>INDEX(Inputs!$F$53:$K$53,1,M$40)+(INDEX(Inputs!$F$53:$K$53,1,M$40+1)-INDEX(Inputs!$F$53:$K$53,1,M$40))*M$41/4</f>
        <v/>
      </c>
      <c r="N45" s="24">
        <f>INDEX(Inputs!$F$53:$K$53,1,N$40)+(INDEX(Inputs!$F$53:$K$53,1,N$40+1)-INDEX(Inputs!$F$53:$K$53,1,N$40))*N$41/4</f>
        <v/>
      </c>
      <c r="O45" s="24">
        <f>INDEX(Inputs!$F$53:$K$53,1,O$40)+(INDEX(Inputs!$F$53:$K$53,1,O$40+1)-INDEX(Inputs!$F$53:$K$53,1,O$40))*O$41/4</f>
        <v/>
      </c>
      <c r="P45" s="24">
        <f>INDEX(Inputs!$F$53:$K$53,1,P$40)+(INDEX(Inputs!$F$53:$K$53,1,P$40+1)-INDEX(Inputs!$F$53:$K$53,1,P$40))*P$41/4</f>
        <v/>
      </c>
      <c r="Q45" s="24">
        <f>INDEX(Inputs!$F$53:$K$53,1,Q$40)+(INDEX(Inputs!$F$53:$K$53,1,Q$40+1)-INDEX(Inputs!$F$53:$K$53,1,Q$40))*Q$41/4</f>
        <v/>
      </c>
      <c r="R45" s="24">
        <f>INDEX(Inputs!$F$53:$K$53,1,R$40)+(INDEX(Inputs!$F$53:$K$53,1,R$40+1)-INDEX(Inputs!$F$53:$K$53,1,R$40))*R$41/4</f>
        <v/>
      </c>
      <c r="S45" s="24">
        <f>INDEX(Inputs!$F$53:$K$53,1,S$40)+(INDEX(Inputs!$F$53:$K$53,1,S$40+1)-INDEX(Inputs!$F$53:$K$53,1,S$40))*S$41/4</f>
        <v/>
      </c>
      <c r="T45" s="24">
        <f>INDEX(Inputs!$F$53:$K$53,1,T$40)+(INDEX(Inputs!$F$53:$K$53,1,T$40+1)-INDEX(Inputs!$F$53:$K$53,1,T$40))*T$41/4</f>
        <v/>
      </c>
      <c r="U45" s="24">
        <f>INDEX(Inputs!$F$53:$K$53,1,U$40)+(INDEX(Inputs!$F$53:$K$53,1,U$40+1)-INDEX(Inputs!$F$53:$K$53,1,U$40))*U$41/4</f>
        <v/>
      </c>
      <c r="V45" s="24">
        <f>INDEX(Inputs!$F$53:$K$53,1,V$40)+(INDEX(Inputs!$F$53:$K$53,1,V$40+1)-INDEX(Inputs!$F$53:$K$53,1,V$40))*V$41/4</f>
        <v/>
      </c>
      <c r="W45" s="24">
        <f>INDEX(Inputs!$F$53:$K$53,1,W$40)+(INDEX(Inputs!$F$53:$K$53,1,W$40+1)-INDEX(Inputs!$F$53:$K$53,1,W$40))*W$41/4</f>
        <v/>
      </c>
    </row>
    <row r="46">
      <c r="A46" s="14">
        <f>IF(Inputs!$A$54="","",Inputs!$A$54)</f>
        <v/>
      </c>
      <c r="B46" t="inlineStr">
        <is>
          <t>people</t>
        </is>
      </c>
      <c r="C46" s="2" t="inlineStr">
        <is>
          <t>Grows in equal steps through the year</t>
        </is>
      </c>
      <c r="D46" s="24">
        <f>INDEX(Inputs!$F$54:$K$54,1,D$40)+(INDEX(Inputs!$F$54:$K$54,1,D$40+1)-INDEX(Inputs!$F$54:$K$54,1,D$40))*D$41/4</f>
        <v/>
      </c>
      <c r="E46" s="24">
        <f>INDEX(Inputs!$F$54:$K$54,1,E$40)+(INDEX(Inputs!$F$54:$K$54,1,E$40+1)-INDEX(Inputs!$F$54:$K$54,1,E$40))*E$41/4</f>
        <v/>
      </c>
      <c r="F46" s="24">
        <f>INDEX(Inputs!$F$54:$K$54,1,F$40)+(INDEX(Inputs!$F$54:$K$54,1,F$40+1)-INDEX(Inputs!$F$54:$K$54,1,F$40))*F$41/4</f>
        <v/>
      </c>
      <c r="G46" s="24">
        <f>INDEX(Inputs!$F$54:$K$54,1,G$40)+(INDEX(Inputs!$F$54:$K$54,1,G$40+1)-INDEX(Inputs!$F$54:$K$54,1,G$40))*G$41/4</f>
        <v/>
      </c>
      <c r="H46" s="24">
        <f>INDEX(Inputs!$F$54:$K$54,1,H$40)+(INDEX(Inputs!$F$54:$K$54,1,H$40+1)-INDEX(Inputs!$F$54:$K$54,1,H$40))*H$41/4</f>
        <v/>
      </c>
      <c r="I46" s="24">
        <f>INDEX(Inputs!$F$54:$K$54,1,I$40)+(INDEX(Inputs!$F$54:$K$54,1,I$40+1)-INDEX(Inputs!$F$54:$K$54,1,I$40))*I$41/4</f>
        <v/>
      </c>
      <c r="J46" s="24">
        <f>INDEX(Inputs!$F$54:$K$54,1,J$40)+(INDEX(Inputs!$F$54:$K$54,1,J$40+1)-INDEX(Inputs!$F$54:$K$54,1,J$40))*J$41/4</f>
        <v/>
      </c>
      <c r="K46" s="24">
        <f>INDEX(Inputs!$F$54:$K$54,1,K$40)+(INDEX(Inputs!$F$54:$K$54,1,K$40+1)-INDEX(Inputs!$F$54:$K$54,1,K$40))*K$41/4</f>
        <v/>
      </c>
      <c r="L46" s="24">
        <f>INDEX(Inputs!$F$54:$K$54,1,L$40)+(INDEX(Inputs!$F$54:$K$54,1,L$40+1)-INDEX(Inputs!$F$54:$K$54,1,L$40))*L$41/4</f>
        <v/>
      </c>
      <c r="M46" s="24">
        <f>INDEX(Inputs!$F$54:$K$54,1,M$40)+(INDEX(Inputs!$F$54:$K$54,1,M$40+1)-INDEX(Inputs!$F$54:$K$54,1,M$40))*M$41/4</f>
        <v/>
      </c>
      <c r="N46" s="24">
        <f>INDEX(Inputs!$F$54:$K$54,1,N$40)+(INDEX(Inputs!$F$54:$K$54,1,N$40+1)-INDEX(Inputs!$F$54:$K$54,1,N$40))*N$41/4</f>
        <v/>
      </c>
      <c r="O46" s="24">
        <f>INDEX(Inputs!$F$54:$K$54,1,O$40)+(INDEX(Inputs!$F$54:$K$54,1,O$40+1)-INDEX(Inputs!$F$54:$K$54,1,O$40))*O$41/4</f>
        <v/>
      </c>
      <c r="P46" s="24">
        <f>INDEX(Inputs!$F$54:$K$54,1,P$40)+(INDEX(Inputs!$F$54:$K$54,1,P$40+1)-INDEX(Inputs!$F$54:$K$54,1,P$40))*P$41/4</f>
        <v/>
      </c>
      <c r="Q46" s="24">
        <f>INDEX(Inputs!$F$54:$K$54,1,Q$40)+(INDEX(Inputs!$F$54:$K$54,1,Q$40+1)-INDEX(Inputs!$F$54:$K$54,1,Q$40))*Q$41/4</f>
        <v/>
      </c>
      <c r="R46" s="24">
        <f>INDEX(Inputs!$F$54:$K$54,1,R$40)+(INDEX(Inputs!$F$54:$K$54,1,R$40+1)-INDEX(Inputs!$F$54:$K$54,1,R$40))*R$41/4</f>
        <v/>
      </c>
      <c r="S46" s="24">
        <f>INDEX(Inputs!$F$54:$K$54,1,S$40)+(INDEX(Inputs!$F$54:$K$54,1,S$40+1)-INDEX(Inputs!$F$54:$K$54,1,S$40))*S$41/4</f>
        <v/>
      </c>
      <c r="T46" s="24">
        <f>INDEX(Inputs!$F$54:$K$54,1,T$40)+(INDEX(Inputs!$F$54:$K$54,1,T$40+1)-INDEX(Inputs!$F$54:$K$54,1,T$40))*T$41/4</f>
        <v/>
      </c>
      <c r="U46" s="24">
        <f>INDEX(Inputs!$F$54:$K$54,1,U$40)+(INDEX(Inputs!$F$54:$K$54,1,U$40+1)-INDEX(Inputs!$F$54:$K$54,1,U$40))*U$41/4</f>
        <v/>
      </c>
      <c r="V46" s="24">
        <f>INDEX(Inputs!$F$54:$K$54,1,V$40)+(INDEX(Inputs!$F$54:$K$54,1,V$40+1)-INDEX(Inputs!$F$54:$K$54,1,V$40))*V$41/4</f>
        <v/>
      </c>
      <c r="W46" s="24">
        <f>INDEX(Inputs!$F$54:$K$54,1,W$40)+(INDEX(Inputs!$F$54:$K$54,1,W$40+1)-INDEX(Inputs!$F$54:$K$54,1,W$40))*W$41/4</f>
        <v/>
      </c>
    </row>
    <row r="47">
      <c r="A47" s="14">
        <f>IF(Inputs!$A$55="","",Inputs!$A$55)</f>
        <v/>
      </c>
      <c r="B47" t="inlineStr">
        <is>
          <t>people</t>
        </is>
      </c>
      <c r="C47" s="2" t="inlineStr">
        <is>
          <t>Grows in equal steps through the year</t>
        </is>
      </c>
      <c r="D47" s="24">
        <f>INDEX(Inputs!$F$55:$K$55,1,D$40)+(INDEX(Inputs!$F$55:$K$55,1,D$40+1)-INDEX(Inputs!$F$55:$K$55,1,D$40))*D$41/4</f>
        <v/>
      </c>
      <c r="E47" s="24">
        <f>INDEX(Inputs!$F$55:$K$55,1,E$40)+(INDEX(Inputs!$F$55:$K$55,1,E$40+1)-INDEX(Inputs!$F$55:$K$55,1,E$40))*E$41/4</f>
        <v/>
      </c>
      <c r="F47" s="24">
        <f>INDEX(Inputs!$F$55:$K$55,1,F$40)+(INDEX(Inputs!$F$55:$K$55,1,F$40+1)-INDEX(Inputs!$F$55:$K$55,1,F$40))*F$41/4</f>
        <v/>
      </c>
      <c r="G47" s="24">
        <f>INDEX(Inputs!$F$55:$K$55,1,G$40)+(INDEX(Inputs!$F$55:$K$55,1,G$40+1)-INDEX(Inputs!$F$55:$K$55,1,G$40))*G$41/4</f>
        <v/>
      </c>
      <c r="H47" s="24">
        <f>INDEX(Inputs!$F$55:$K$55,1,H$40)+(INDEX(Inputs!$F$55:$K$55,1,H$40+1)-INDEX(Inputs!$F$55:$K$55,1,H$40))*H$41/4</f>
        <v/>
      </c>
      <c r="I47" s="24">
        <f>INDEX(Inputs!$F$55:$K$55,1,I$40)+(INDEX(Inputs!$F$55:$K$55,1,I$40+1)-INDEX(Inputs!$F$55:$K$55,1,I$40))*I$41/4</f>
        <v/>
      </c>
      <c r="J47" s="24">
        <f>INDEX(Inputs!$F$55:$K$55,1,J$40)+(INDEX(Inputs!$F$55:$K$55,1,J$40+1)-INDEX(Inputs!$F$55:$K$55,1,J$40))*J$41/4</f>
        <v/>
      </c>
      <c r="K47" s="24">
        <f>INDEX(Inputs!$F$55:$K$55,1,K$40)+(INDEX(Inputs!$F$55:$K$55,1,K$40+1)-INDEX(Inputs!$F$55:$K$55,1,K$40))*K$41/4</f>
        <v/>
      </c>
      <c r="L47" s="24">
        <f>INDEX(Inputs!$F$55:$K$55,1,L$40)+(INDEX(Inputs!$F$55:$K$55,1,L$40+1)-INDEX(Inputs!$F$55:$K$55,1,L$40))*L$41/4</f>
        <v/>
      </c>
      <c r="M47" s="24">
        <f>INDEX(Inputs!$F$55:$K$55,1,M$40)+(INDEX(Inputs!$F$55:$K$55,1,M$40+1)-INDEX(Inputs!$F$55:$K$55,1,M$40))*M$41/4</f>
        <v/>
      </c>
      <c r="N47" s="24">
        <f>INDEX(Inputs!$F$55:$K$55,1,N$40)+(INDEX(Inputs!$F$55:$K$55,1,N$40+1)-INDEX(Inputs!$F$55:$K$55,1,N$40))*N$41/4</f>
        <v/>
      </c>
      <c r="O47" s="24">
        <f>INDEX(Inputs!$F$55:$K$55,1,O$40)+(INDEX(Inputs!$F$55:$K$55,1,O$40+1)-INDEX(Inputs!$F$55:$K$55,1,O$40))*O$41/4</f>
        <v/>
      </c>
      <c r="P47" s="24">
        <f>INDEX(Inputs!$F$55:$K$55,1,P$40)+(INDEX(Inputs!$F$55:$K$55,1,P$40+1)-INDEX(Inputs!$F$55:$K$55,1,P$40))*P$41/4</f>
        <v/>
      </c>
      <c r="Q47" s="24">
        <f>INDEX(Inputs!$F$55:$K$55,1,Q$40)+(INDEX(Inputs!$F$55:$K$55,1,Q$40+1)-INDEX(Inputs!$F$55:$K$55,1,Q$40))*Q$41/4</f>
        <v/>
      </c>
      <c r="R47" s="24">
        <f>INDEX(Inputs!$F$55:$K$55,1,R$40)+(INDEX(Inputs!$F$55:$K$55,1,R$40+1)-INDEX(Inputs!$F$55:$K$55,1,R$40))*R$41/4</f>
        <v/>
      </c>
      <c r="S47" s="24">
        <f>INDEX(Inputs!$F$55:$K$55,1,S$40)+(INDEX(Inputs!$F$55:$K$55,1,S$40+1)-INDEX(Inputs!$F$55:$K$55,1,S$40))*S$41/4</f>
        <v/>
      </c>
      <c r="T47" s="24">
        <f>INDEX(Inputs!$F$55:$K$55,1,T$40)+(INDEX(Inputs!$F$55:$K$55,1,T$40+1)-INDEX(Inputs!$F$55:$K$55,1,T$40))*T$41/4</f>
        <v/>
      </c>
      <c r="U47" s="24">
        <f>INDEX(Inputs!$F$55:$K$55,1,U$40)+(INDEX(Inputs!$F$55:$K$55,1,U$40+1)-INDEX(Inputs!$F$55:$K$55,1,U$40))*U$41/4</f>
        <v/>
      </c>
      <c r="V47" s="24">
        <f>INDEX(Inputs!$F$55:$K$55,1,V$40)+(INDEX(Inputs!$F$55:$K$55,1,V$40+1)-INDEX(Inputs!$F$55:$K$55,1,V$40))*V$41/4</f>
        <v/>
      </c>
      <c r="W47" s="24">
        <f>INDEX(Inputs!$F$55:$K$55,1,W$40)+(INDEX(Inputs!$F$55:$K$55,1,W$40+1)-INDEX(Inputs!$F$55:$K$55,1,W$40))*W$41/4</f>
        <v/>
      </c>
    </row>
    <row r="48">
      <c r="A48" s="14">
        <f>IF(Inputs!$A$56="","",Inputs!$A$56)</f>
        <v/>
      </c>
      <c r="B48" t="inlineStr">
        <is>
          <t>people</t>
        </is>
      </c>
      <c r="C48" s="2" t="inlineStr">
        <is>
          <t>Grows in equal steps through the year</t>
        </is>
      </c>
      <c r="D48" s="24">
        <f>INDEX(Inputs!$F$56:$K$56,1,D$40)+(INDEX(Inputs!$F$56:$K$56,1,D$40+1)-INDEX(Inputs!$F$56:$K$56,1,D$40))*D$41/4</f>
        <v/>
      </c>
      <c r="E48" s="24">
        <f>INDEX(Inputs!$F$56:$K$56,1,E$40)+(INDEX(Inputs!$F$56:$K$56,1,E$40+1)-INDEX(Inputs!$F$56:$K$56,1,E$40))*E$41/4</f>
        <v/>
      </c>
      <c r="F48" s="24">
        <f>INDEX(Inputs!$F$56:$K$56,1,F$40)+(INDEX(Inputs!$F$56:$K$56,1,F$40+1)-INDEX(Inputs!$F$56:$K$56,1,F$40))*F$41/4</f>
        <v/>
      </c>
      <c r="G48" s="24">
        <f>INDEX(Inputs!$F$56:$K$56,1,G$40)+(INDEX(Inputs!$F$56:$K$56,1,G$40+1)-INDEX(Inputs!$F$56:$K$56,1,G$40))*G$41/4</f>
        <v/>
      </c>
      <c r="H48" s="24">
        <f>INDEX(Inputs!$F$56:$K$56,1,H$40)+(INDEX(Inputs!$F$56:$K$56,1,H$40+1)-INDEX(Inputs!$F$56:$K$56,1,H$40))*H$41/4</f>
        <v/>
      </c>
      <c r="I48" s="24">
        <f>INDEX(Inputs!$F$56:$K$56,1,I$40)+(INDEX(Inputs!$F$56:$K$56,1,I$40+1)-INDEX(Inputs!$F$56:$K$56,1,I$40))*I$41/4</f>
        <v/>
      </c>
      <c r="J48" s="24">
        <f>INDEX(Inputs!$F$56:$K$56,1,J$40)+(INDEX(Inputs!$F$56:$K$56,1,J$40+1)-INDEX(Inputs!$F$56:$K$56,1,J$40))*J$41/4</f>
        <v/>
      </c>
      <c r="K48" s="24">
        <f>INDEX(Inputs!$F$56:$K$56,1,K$40)+(INDEX(Inputs!$F$56:$K$56,1,K$40+1)-INDEX(Inputs!$F$56:$K$56,1,K$40))*K$41/4</f>
        <v/>
      </c>
      <c r="L48" s="24">
        <f>INDEX(Inputs!$F$56:$K$56,1,L$40)+(INDEX(Inputs!$F$56:$K$56,1,L$40+1)-INDEX(Inputs!$F$56:$K$56,1,L$40))*L$41/4</f>
        <v/>
      </c>
      <c r="M48" s="24">
        <f>INDEX(Inputs!$F$56:$K$56,1,M$40)+(INDEX(Inputs!$F$56:$K$56,1,M$40+1)-INDEX(Inputs!$F$56:$K$56,1,M$40))*M$41/4</f>
        <v/>
      </c>
      <c r="N48" s="24">
        <f>INDEX(Inputs!$F$56:$K$56,1,N$40)+(INDEX(Inputs!$F$56:$K$56,1,N$40+1)-INDEX(Inputs!$F$56:$K$56,1,N$40))*N$41/4</f>
        <v/>
      </c>
      <c r="O48" s="24">
        <f>INDEX(Inputs!$F$56:$K$56,1,O$40)+(INDEX(Inputs!$F$56:$K$56,1,O$40+1)-INDEX(Inputs!$F$56:$K$56,1,O$40))*O$41/4</f>
        <v/>
      </c>
      <c r="P48" s="24">
        <f>INDEX(Inputs!$F$56:$K$56,1,P$40)+(INDEX(Inputs!$F$56:$K$56,1,P$40+1)-INDEX(Inputs!$F$56:$K$56,1,P$40))*P$41/4</f>
        <v/>
      </c>
      <c r="Q48" s="24">
        <f>INDEX(Inputs!$F$56:$K$56,1,Q$40)+(INDEX(Inputs!$F$56:$K$56,1,Q$40+1)-INDEX(Inputs!$F$56:$K$56,1,Q$40))*Q$41/4</f>
        <v/>
      </c>
      <c r="R48" s="24">
        <f>INDEX(Inputs!$F$56:$K$56,1,R$40)+(INDEX(Inputs!$F$56:$K$56,1,R$40+1)-INDEX(Inputs!$F$56:$K$56,1,R$40))*R$41/4</f>
        <v/>
      </c>
      <c r="S48" s="24">
        <f>INDEX(Inputs!$F$56:$K$56,1,S$40)+(INDEX(Inputs!$F$56:$K$56,1,S$40+1)-INDEX(Inputs!$F$56:$K$56,1,S$40))*S$41/4</f>
        <v/>
      </c>
      <c r="T48" s="24">
        <f>INDEX(Inputs!$F$56:$K$56,1,T$40)+(INDEX(Inputs!$F$56:$K$56,1,T$40+1)-INDEX(Inputs!$F$56:$K$56,1,T$40))*T$41/4</f>
        <v/>
      </c>
      <c r="U48" s="24">
        <f>INDEX(Inputs!$F$56:$K$56,1,U$40)+(INDEX(Inputs!$F$56:$K$56,1,U$40+1)-INDEX(Inputs!$F$56:$K$56,1,U$40))*U$41/4</f>
        <v/>
      </c>
      <c r="V48" s="24">
        <f>INDEX(Inputs!$F$56:$K$56,1,V$40)+(INDEX(Inputs!$F$56:$K$56,1,V$40+1)-INDEX(Inputs!$F$56:$K$56,1,V$40))*V$41/4</f>
        <v/>
      </c>
      <c r="W48" s="24">
        <f>INDEX(Inputs!$F$56:$K$56,1,W$40)+(INDEX(Inputs!$F$56:$K$56,1,W$40+1)-INDEX(Inputs!$F$56:$K$56,1,W$40))*W$41/4</f>
        <v/>
      </c>
    </row>
    <row r="49">
      <c r="A49" s="14">
        <f>IF(Inputs!$A$57="","",Inputs!$A$57)</f>
        <v/>
      </c>
      <c r="B49" t="inlineStr">
        <is>
          <t>people</t>
        </is>
      </c>
      <c r="C49" s="2" t="inlineStr">
        <is>
          <t>Grows in equal steps through the year</t>
        </is>
      </c>
      <c r="D49" s="24">
        <f>INDEX(Inputs!$F$57:$K$57,1,D$40)+(INDEX(Inputs!$F$57:$K$57,1,D$40+1)-INDEX(Inputs!$F$57:$K$57,1,D$40))*D$41/4</f>
        <v/>
      </c>
      <c r="E49" s="24">
        <f>INDEX(Inputs!$F$57:$K$57,1,E$40)+(INDEX(Inputs!$F$57:$K$57,1,E$40+1)-INDEX(Inputs!$F$57:$K$57,1,E$40))*E$41/4</f>
        <v/>
      </c>
      <c r="F49" s="24">
        <f>INDEX(Inputs!$F$57:$K$57,1,F$40)+(INDEX(Inputs!$F$57:$K$57,1,F$40+1)-INDEX(Inputs!$F$57:$K$57,1,F$40))*F$41/4</f>
        <v/>
      </c>
      <c r="G49" s="24">
        <f>INDEX(Inputs!$F$57:$K$57,1,G$40)+(INDEX(Inputs!$F$57:$K$57,1,G$40+1)-INDEX(Inputs!$F$57:$K$57,1,G$40))*G$41/4</f>
        <v/>
      </c>
      <c r="H49" s="24">
        <f>INDEX(Inputs!$F$57:$K$57,1,H$40)+(INDEX(Inputs!$F$57:$K$57,1,H$40+1)-INDEX(Inputs!$F$57:$K$57,1,H$40))*H$41/4</f>
        <v/>
      </c>
      <c r="I49" s="24">
        <f>INDEX(Inputs!$F$57:$K$57,1,I$40)+(INDEX(Inputs!$F$57:$K$57,1,I$40+1)-INDEX(Inputs!$F$57:$K$57,1,I$40))*I$41/4</f>
        <v/>
      </c>
      <c r="J49" s="24">
        <f>INDEX(Inputs!$F$57:$K$57,1,J$40)+(INDEX(Inputs!$F$57:$K$57,1,J$40+1)-INDEX(Inputs!$F$57:$K$57,1,J$40))*J$41/4</f>
        <v/>
      </c>
      <c r="K49" s="24">
        <f>INDEX(Inputs!$F$57:$K$57,1,K$40)+(INDEX(Inputs!$F$57:$K$57,1,K$40+1)-INDEX(Inputs!$F$57:$K$57,1,K$40))*K$41/4</f>
        <v/>
      </c>
      <c r="L49" s="24">
        <f>INDEX(Inputs!$F$57:$K$57,1,L$40)+(INDEX(Inputs!$F$57:$K$57,1,L$40+1)-INDEX(Inputs!$F$57:$K$57,1,L$40))*L$41/4</f>
        <v/>
      </c>
      <c r="M49" s="24">
        <f>INDEX(Inputs!$F$57:$K$57,1,M$40)+(INDEX(Inputs!$F$57:$K$57,1,M$40+1)-INDEX(Inputs!$F$57:$K$57,1,M$40))*M$41/4</f>
        <v/>
      </c>
      <c r="N49" s="24">
        <f>INDEX(Inputs!$F$57:$K$57,1,N$40)+(INDEX(Inputs!$F$57:$K$57,1,N$40+1)-INDEX(Inputs!$F$57:$K$57,1,N$40))*N$41/4</f>
        <v/>
      </c>
      <c r="O49" s="24">
        <f>INDEX(Inputs!$F$57:$K$57,1,O$40)+(INDEX(Inputs!$F$57:$K$57,1,O$40+1)-INDEX(Inputs!$F$57:$K$57,1,O$40))*O$41/4</f>
        <v/>
      </c>
      <c r="P49" s="24">
        <f>INDEX(Inputs!$F$57:$K$57,1,P$40)+(INDEX(Inputs!$F$57:$K$57,1,P$40+1)-INDEX(Inputs!$F$57:$K$57,1,P$40))*P$41/4</f>
        <v/>
      </c>
      <c r="Q49" s="24">
        <f>INDEX(Inputs!$F$57:$K$57,1,Q$40)+(INDEX(Inputs!$F$57:$K$57,1,Q$40+1)-INDEX(Inputs!$F$57:$K$57,1,Q$40))*Q$41/4</f>
        <v/>
      </c>
      <c r="R49" s="24">
        <f>INDEX(Inputs!$F$57:$K$57,1,R$40)+(INDEX(Inputs!$F$57:$K$57,1,R$40+1)-INDEX(Inputs!$F$57:$K$57,1,R$40))*R$41/4</f>
        <v/>
      </c>
      <c r="S49" s="24">
        <f>INDEX(Inputs!$F$57:$K$57,1,S$40)+(INDEX(Inputs!$F$57:$K$57,1,S$40+1)-INDEX(Inputs!$F$57:$K$57,1,S$40))*S$41/4</f>
        <v/>
      </c>
      <c r="T49" s="24">
        <f>INDEX(Inputs!$F$57:$K$57,1,T$40)+(INDEX(Inputs!$F$57:$K$57,1,T$40+1)-INDEX(Inputs!$F$57:$K$57,1,T$40))*T$41/4</f>
        <v/>
      </c>
      <c r="U49" s="24">
        <f>INDEX(Inputs!$F$57:$K$57,1,U$40)+(INDEX(Inputs!$F$57:$K$57,1,U$40+1)-INDEX(Inputs!$F$57:$K$57,1,U$40))*U$41/4</f>
        <v/>
      </c>
      <c r="V49" s="24">
        <f>INDEX(Inputs!$F$57:$K$57,1,V$40)+(INDEX(Inputs!$F$57:$K$57,1,V$40+1)-INDEX(Inputs!$F$57:$K$57,1,V$40))*V$41/4</f>
        <v/>
      </c>
      <c r="W49" s="24">
        <f>INDEX(Inputs!$F$57:$K$57,1,W$40)+(INDEX(Inputs!$F$57:$K$57,1,W$40+1)-INDEX(Inputs!$F$57:$K$57,1,W$40))*W$41/4</f>
        <v/>
      </c>
    </row>
    <row r="50">
      <c r="A50" s="14">
        <f>IF(Inputs!$A$58="","",Inputs!$A$58)</f>
        <v/>
      </c>
      <c r="B50" t="inlineStr">
        <is>
          <t>people</t>
        </is>
      </c>
      <c r="C50" s="2" t="inlineStr">
        <is>
          <t>Grows in equal steps through the year</t>
        </is>
      </c>
      <c r="D50" s="24">
        <f>INDEX(Inputs!$F$58:$K$58,1,D$40)+(INDEX(Inputs!$F$58:$K$58,1,D$40+1)-INDEX(Inputs!$F$58:$K$58,1,D$40))*D$41/4</f>
        <v/>
      </c>
      <c r="E50" s="24">
        <f>INDEX(Inputs!$F$58:$K$58,1,E$40)+(INDEX(Inputs!$F$58:$K$58,1,E$40+1)-INDEX(Inputs!$F$58:$K$58,1,E$40))*E$41/4</f>
        <v/>
      </c>
      <c r="F50" s="24">
        <f>INDEX(Inputs!$F$58:$K$58,1,F$40)+(INDEX(Inputs!$F$58:$K$58,1,F$40+1)-INDEX(Inputs!$F$58:$K$58,1,F$40))*F$41/4</f>
        <v/>
      </c>
      <c r="G50" s="24">
        <f>INDEX(Inputs!$F$58:$K$58,1,G$40)+(INDEX(Inputs!$F$58:$K$58,1,G$40+1)-INDEX(Inputs!$F$58:$K$58,1,G$40))*G$41/4</f>
        <v/>
      </c>
      <c r="H50" s="24">
        <f>INDEX(Inputs!$F$58:$K$58,1,H$40)+(INDEX(Inputs!$F$58:$K$58,1,H$40+1)-INDEX(Inputs!$F$58:$K$58,1,H$40))*H$41/4</f>
        <v/>
      </c>
      <c r="I50" s="24">
        <f>INDEX(Inputs!$F$58:$K$58,1,I$40)+(INDEX(Inputs!$F$58:$K$58,1,I$40+1)-INDEX(Inputs!$F$58:$K$58,1,I$40))*I$41/4</f>
        <v/>
      </c>
      <c r="J50" s="24">
        <f>INDEX(Inputs!$F$58:$K$58,1,J$40)+(INDEX(Inputs!$F$58:$K$58,1,J$40+1)-INDEX(Inputs!$F$58:$K$58,1,J$40))*J$41/4</f>
        <v/>
      </c>
      <c r="K50" s="24">
        <f>INDEX(Inputs!$F$58:$K$58,1,K$40)+(INDEX(Inputs!$F$58:$K$58,1,K$40+1)-INDEX(Inputs!$F$58:$K$58,1,K$40))*K$41/4</f>
        <v/>
      </c>
      <c r="L50" s="24">
        <f>INDEX(Inputs!$F$58:$K$58,1,L$40)+(INDEX(Inputs!$F$58:$K$58,1,L$40+1)-INDEX(Inputs!$F$58:$K$58,1,L$40))*L$41/4</f>
        <v/>
      </c>
      <c r="M50" s="24">
        <f>INDEX(Inputs!$F$58:$K$58,1,M$40)+(INDEX(Inputs!$F$58:$K$58,1,M$40+1)-INDEX(Inputs!$F$58:$K$58,1,M$40))*M$41/4</f>
        <v/>
      </c>
      <c r="N50" s="24">
        <f>INDEX(Inputs!$F$58:$K$58,1,N$40)+(INDEX(Inputs!$F$58:$K$58,1,N$40+1)-INDEX(Inputs!$F$58:$K$58,1,N$40))*N$41/4</f>
        <v/>
      </c>
      <c r="O50" s="24">
        <f>INDEX(Inputs!$F$58:$K$58,1,O$40)+(INDEX(Inputs!$F$58:$K$58,1,O$40+1)-INDEX(Inputs!$F$58:$K$58,1,O$40))*O$41/4</f>
        <v/>
      </c>
      <c r="P50" s="24">
        <f>INDEX(Inputs!$F$58:$K$58,1,P$40)+(INDEX(Inputs!$F$58:$K$58,1,P$40+1)-INDEX(Inputs!$F$58:$K$58,1,P$40))*P$41/4</f>
        <v/>
      </c>
      <c r="Q50" s="24">
        <f>INDEX(Inputs!$F$58:$K$58,1,Q$40)+(INDEX(Inputs!$F$58:$K$58,1,Q$40+1)-INDEX(Inputs!$F$58:$K$58,1,Q$40))*Q$41/4</f>
        <v/>
      </c>
      <c r="R50" s="24">
        <f>INDEX(Inputs!$F$58:$K$58,1,R$40)+(INDEX(Inputs!$F$58:$K$58,1,R$40+1)-INDEX(Inputs!$F$58:$K$58,1,R$40))*R$41/4</f>
        <v/>
      </c>
      <c r="S50" s="24">
        <f>INDEX(Inputs!$F$58:$K$58,1,S$40)+(INDEX(Inputs!$F$58:$K$58,1,S$40+1)-INDEX(Inputs!$F$58:$K$58,1,S$40))*S$41/4</f>
        <v/>
      </c>
      <c r="T50" s="24">
        <f>INDEX(Inputs!$F$58:$K$58,1,T$40)+(INDEX(Inputs!$F$58:$K$58,1,T$40+1)-INDEX(Inputs!$F$58:$K$58,1,T$40))*T$41/4</f>
        <v/>
      </c>
      <c r="U50" s="24">
        <f>INDEX(Inputs!$F$58:$K$58,1,U$40)+(INDEX(Inputs!$F$58:$K$58,1,U$40+1)-INDEX(Inputs!$F$58:$K$58,1,U$40))*U$41/4</f>
        <v/>
      </c>
      <c r="V50" s="24">
        <f>INDEX(Inputs!$F$58:$K$58,1,V$40)+(INDEX(Inputs!$F$58:$K$58,1,V$40+1)-INDEX(Inputs!$F$58:$K$58,1,V$40))*V$41/4</f>
        <v/>
      </c>
      <c r="W50" s="24">
        <f>INDEX(Inputs!$F$58:$K$58,1,W$40)+(INDEX(Inputs!$F$58:$K$58,1,W$40+1)-INDEX(Inputs!$F$58:$K$58,1,W$40))*W$41/4</f>
        <v/>
      </c>
    </row>
    <row r="51">
      <c r="A51" s="14">
        <f>IF(Inputs!$A$59="","",Inputs!$A$59)</f>
        <v/>
      </c>
      <c r="B51" t="inlineStr">
        <is>
          <t>people</t>
        </is>
      </c>
      <c r="C51" s="2" t="inlineStr">
        <is>
          <t>Grows in equal steps through the year</t>
        </is>
      </c>
      <c r="D51" s="24">
        <f>INDEX(Inputs!$F$59:$K$59,1,D$40)+(INDEX(Inputs!$F$59:$K$59,1,D$40+1)-INDEX(Inputs!$F$59:$K$59,1,D$40))*D$41/4</f>
        <v/>
      </c>
      <c r="E51" s="24">
        <f>INDEX(Inputs!$F$59:$K$59,1,E$40)+(INDEX(Inputs!$F$59:$K$59,1,E$40+1)-INDEX(Inputs!$F$59:$K$59,1,E$40))*E$41/4</f>
        <v/>
      </c>
      <c r="F51" s="24">
        <f>INDEX(Inputs!$F$59:$K$59,1,F$40)+(INDEX(Inputs!$F$59:$K$59,1,F$40+1)-INDEX(Inputs!$F$59:$K$59,1,F$40))*F$41/4</f>
        <v/>
      </c>
      <c r="G51" s="24">
        <f>INDEX(Inputs!$F$59:$K$59,1,G$40)+(INDEX(Inputs!$F$59:$K$59,1,G$40+1)-INDEX(Inputs!$F$59:$K$59,1,G$40))*G$41/4</f>
        <v/>
      </c>
      <c r="H51" s="24">
        <f>INDEX(Inputs!$F$59:$K$59,1,H$40)+(INDEX(Inputs!$F$59:$K$59,1,H$40+1)-INDEX(Inputs!$F$59:$K$59,1,H$40))*H$41/4</f>
        <v/>
      </c>
      <c r="I51" s="24">
        <f>INDEX(Inputs!$F$59:$K$59,1,I$40)+(INDEX(Inputs!$F$59:$K$59,1,I$40+1)-INDEX(Inputs!$F$59:$K$59,1,I$40))*I$41/4</f>
        <v/>
      </c>
      <c r="J51" s="24">
        <f>INDEX(Inputs!$F$59:$K$59,1,J$40)+(INDEX(Inputs!$F$59:$K$59,1,J$40+1)-INDEX(Inputs!$F$59:$K$59,1,J$40))*J$41/4</f>
        <v/>
      </c>
      <c r="K51" s="24">
        <f>INDEX(Inputs!$F$59:$K$59,1,K$40)+(INDEX(Inputs!$F$59:$K$59,1,K$40+1)-INDEX(Inputs!$F$59:$K$59,1,K$40))*K$41/4</f>
        <v/>
      </c>
      <c r="L51" s="24">
        <f>INDEX(Inputs!$F$59:$K$59,1,L$40)+(INDEX(Inputs!$F$59:$K$59,1,L$40+1)-INDEX(Inputs!$F$59:$K$59,1,L$40))*L$41/4</f>
        <v/>
      </c>
      <c r="M51" s="24">
        <f>INDEX(Inputs!$F$59:$K$59,1,M$40)+(INDEX(Inputs!$F$59:$K$59,1,M$40+1)-INDEX(Inputs!$F$59:$K$59,1,M$40))*M$41/4</f>
        <v/>
      </c>
      <c r="N51" s="24">
        <f>INDEX(Inputs!$F$59:$K$59,1,N$40)+(INDEX(Inputs!$F$59:$K$59,1,N$40+1)-INDEX(Inputs!$F$59:$K$59,1,N$40))*N$41/4</f>
        <v/>
      </c>
      <c r="O51" s="24">
        <f>INDEX(Inputs!$F$59:$K$59,1,O$40)+(INDEX(Inputs!$F$59:$K$59,1,O$40+1)-INDEX(Inputs!$F$59:$K$59,1,O$40))*O$41/4</f>
        <v/>
      </c>
      <c r="P51" s="24">
        <f>INDEX(Inputs!$F$59:$K$59,1,P$40)+(INDEX(Inputs!$F$59:$K$59,1,P$40+1)-INDEX(Inputs!$F$59:$K$59,1,P$40))*P$41/4</f>
        <v/>
      </c>
      <c r="Q51" s="24">
        <f>INDEX(Inputs!$F$59:$K$59,1,Q$40)+(INDEX(Inputs!$F$59:$K$59,1,Q$40+1)-INDEX(Inputs!$F$59:$K$59,1,Q$40))*Q$41/4</f>
        <v/>
      </c>
      <c r="R51" s="24">
        <f>INDEX(Inputs!$F$59:$K$59,1,R$40)+(INDEX(Inputs!$F$59:$K$59,1,R$40+1)-INDEX(Inputs!$F$59:$K$59,1,R$40))*R$41/4</f>
        <v/>
      </c>
      <c r="S51" s="24">
        <f>INDEX(Inputs!$F$59:$K$59,1,S$40)+(INDEX(Inputs!$F$59:$K$59,1,S$40+1)-INDEX(Inputs!$F$59:$K$59,1,S$40))*S$41/4</f>
        <v/>
      </c>
      <c r="T51" s="24">
        <f>INDEX(Inputs!$F$59:$K$59,1,T$40)+(INDEX(Inputs!$F$59:$K$59,1,T$40+1)-INDEX(Inputs!$F$59:$K$59,1,T$40))*T$41/4</f>
        <v/>
      </c>
      <c r="U51" s="24">
        <f>INDEX(Inputs!$F$59:$K$59,1,U$40)+(INDEX(Inputs!$F$59:$K$59,1,U$40+1)-INDEX(Inputs!$F$59:$K$59,1,U$40))*U$41/4</f>
        <v/>
      </c>
      <c r="V51" s="24">
        <f>INDEX(Inputs!$F$59:$K$59,1,V$40)+(INDEX(Inputs!$F$59:$K$59,1,V$40+1)-INDEX(Inputs!$F$59:$K$59,1,V$40))*V$41/4</f>
        <v/>
      </c>
      <c r="W51" s="24">
        <f>INDEX(Inputs!$F$59:$K$59,1,W$40)+(INDEX(Inputs!$F$59:$K$59,1,W$40+1)-INDEX(Inputs!$F$59:$K$59,1,W$40))*W$41/4</f>
        <v/>
      </c>
    </row>
    <row r="52">
      <c r="A52" s="14">
        <f>IF(Inputs!$A$60="","",Inputs!$A$60)</f>
        <v/>
      </c>
      <c r="B52" t="inlineStr">
        <is>
          <t>people</t>
        </is>
      </c>
      <c r="C52" s="2" t="inlineStr">
        <is>
          <t>Grows in equal steps through the year</t>
        </is>
      </c>
      <c r="D52" s="24">
        <f>INDEX(Inputs!$F$60:$K$60,1,D$40)+(INDEX(Inputs!$F$60:$K$60,1,D$40+1)-INDEX(Inputs!$F$60:$K$60,1,D$40))*D$41/4</f>
        <v/>
      </c>
      <c r="E52" s="24">
        <f>INDEX(Inputs!$F$60:$K$60,1,E$40)+(INDEX(Inputs!$F$60:$K$60,1,E$40+1)-INDEX(Inputs!$F$60:$K$60,1,E$40))*E$41/4</f>
        <v/>
      </c>
      <c r="F52" s="24">
        <f>INDEX(Inputs!$F$60:$K$60,1,F$40)+(INDEX(Inputs!$F$60:$K$60,1,F$40+1)-INDEX(Inputs!$F$60:$K$60,1,F$40))*F$41/4</f>
        <v/>
      </c>
      <c r="G52" s="24">
        <f>INDEX(Inputs!$F$60:$K$60,1,G$40)+(INDEX(Inputs!$F$60:$K$60,1,G$40+1)-INDEX(Inputs!$F$60:$K$60,1,G$40))*G$41/4</f>
        <v/>
      </c>
      <c r="H52" s="24">
        <f>INDEX(Inputs!$F$60:$K$60,1,H$40)+(INDEX(Inputs!$F$60:$K$60,1,H$40+1)-INDEX(Inputs!$F$60:$K$60,1,H$40))*H$41/4</f>
        <v/>
      </c>
      <c r="I52" s="24">
        <f>INDEX(Inputs!$F$60:$K$60,1,I$40)+(INDEX(Inputs!$F$60:$K$60,1,I$40+1)-INDEX(Inputs!$F$60:$K$60,1,I$40))*I$41/4</f>
        <v/>
      </c>
      <c r="J52" s="24">
        <f>INDEX(Inputs!$F$60:$K$60,1,J$40)+(INDEX(Inputs!$F$60:$K$60,1,J$40+1)-INDEX(Inputs!$F$60:$K$60,1,J$40))*J$41/4</f>
        <v/>
      </c>
      <c r="K52" s="24">
        <f>INDEX(Inputs!$F$60:$K$60,1,K$40)+(INDEX(Inputs!$F$60:$K$60,1,K$40+1)-INDEX(Inputs!$F$60:$K$60,1,K$40))*K$41/4</f>
        <v/>
      </c>
      <c r="L52" s="24">
        <f>INDEX(Inputs!$F$60:$K$60,1,L$40)+(INDEX(Inputs!$F$60:$K$60,1,L$40+1)-INDEX(Inputs!$F$60:$K$60,1,L$40))*L$41/4</f>
        <v/>
      </c>
      <c r="M52" s="24">
        <f>INDEX(Inputs!$F$60:$K$60,1,M$40)+(INDEX(Inputs!$F$60:$K$60,1,M$40+1)-INDEX(Inputs!$F$60:$K$60,1,M$40))*M$41/4</f>
        <v/>
      </c>
      <c r="N52" s="24">
        <f>INDEX(Inputs!$F$60:$K$60,1,N$40)+(INDEX(Inputs!$F$60:$K$60,1,N$40+1)-INDEX(Inputs!$F$60:$K$60,1,N$40))*N$41/4</f>
        <v/>
      </c>
      <c r="O52" s="24">
        <f>INDEX(Inputs!$F$60:$K$60,1,O$40)+(INDEX(Inputs!$F$60:$K$60,1,O$40+1)-INDEX(Inputs!$F$60:$K$60,1,O$40))*O$41/4</f>
        <v/>
      </c>
      <c r="P52" s="24">
        <f>INDEX(Inputs!$F$60:$K$60,1,P$40)+(INDEX(Inputs!$F$60:$K$60,1,P$40+1)-INDEX(Inputs!$F$60:$K$60,1,P$40))*P$41/4</f>
        <v/>
      </c>
      <c r="Q52" s="24">
        <f>INDEX(Inputs!$F$60:$K$60,1,Q$40)+(INDEX(Inputs!$F$60:$K$60,1,Q$40+1)-INDEX(Inputs!$F$60:$K$60,1,Q$40))*Q$41/4</f>
        <v/>
      </c>
      <c r="R52" s="24">
        <f>INDEX(Inputs!$F$60:$K$60,1,R$40)+(INDEX(Inputs!$F$60:$K$60,1,R$40+1)-INDEX(Inputs!$F$60:$K$60,1,R$40))*R$41/4</f>
        <v/>
      </c>
      <c r="S52" s="24">
        <f>INDEX(Inputs!$F$60:$K$60,1,S$40)+(INDEX(Inputs!$F$60:$K$60,1,S$40+1)-INDEX(Inputs!$F$60:$K$60,1,S$40))*S$41/4</f>
        <v/>
      </c>
      <c r="T52" s="24">
        <f>INDEX(Inputs!$F$60:$K$60,1,T$40)+(INDEX(Inputs!$F$60:$K$60,1,T$40+1)-INDEX(Inputs!$F$60:$K$60,1,T$40))*T$41/4</f>
        <v/>
      </c>
      <c r="U52" s="24">
        <f>INDEX(Inputs!$F$60:$K$60,1,U$40)+(INDEX(Inputs!$F$60:$K$60,1,U$40+1)-INDEX(Inputs!$F$60:$K$60,1,U$40))*U$41/4</f>
        <v/>
      </c>
      <c r="V52" s="24">
        <f>INDEX(Inputs!$F$60:$K$60,1,V$40)+(INDEX(Inputs!$F$60:$K$60,1,V$40+1)-INDEX(Inputs!$F$60:$K$60,1,V$40))*V$41/4</f>
        <v/>
      </c>
      <c r="W52" s="24">
        <f>INDEX(Inputs!$F$60:$K$60,1,W$40)+(INDEX(Inputs!$F$60:$K$60,1,W$40+1)-INDEX(Inputs!$F$60:$K$60,1,W$40))*W$41/4</f>
        <v/>
      </c>
    </row>
    <row r="53">
      <c r="A53" s="17" t="inlineStr">
        <is>
          <t>Team, total</t>
        </is>
      </c>
      <c r="B53" t="inlineStr">
        <is>
          <t>people</t>
        </is>
      </c>
      <c r="C53" s="2" t="inlineStr">
        <is>
          <t>Sum of the roles above</t>
        </is>
      </c>
      <c r="D53" s="25">
        <f>SUM(D$43:D$52)</f>
        <v/>
      </c>
      <c r="E53" s="25">
        <f>SUM(E$43:E$52)</f>
        <v/>
      </c>
      <c r="F53" s="25">
        <f>SUM(F$43:F$52)</f>
        <v/>
      </c>
      <c r="G53" s="25">
        <f>SUM(G$43:G$52)</f>
        <v/>
      </c>
      <c r="H53" s="25">
        <f>SUM(H$43:H$52)</f>
        <v/>
      </c>
      <c r="I53" s="25">
        <f>SUM(I$43:I$52)</f>
        <v/>
      </c>
      <c r="J53" s="25">
        <f>SUM(J$43:J$52)</f>
        <v/>
      </c>
      <c r="K53" s="25">
        <f>SUM(K$43:K$52)</f>
        <v/>
      </c>
      <c r="L53" s="25">
        <f>SUM(L$43:L$52)</f>
        <v/>
      </c>
      <c r="M53" s="25">
        <f>SUM(M$43:M$52)</f>
        <v/>
      </c>
      <c r="N53" s="25">
        <f>SUM(N$43:N$52)</f>
        <v/>
      </c>
      <c r="O53" s="25">
        <f>SUM(O$43:O$52)</f>
        <v/>
      </c>
      <c r="P53" s="25">
        <f>SUM(P$43:P$52)</f>
        <v/>
      </c>
      <c r="Q53" s="25">
        <f>SUM(Q$43:Q$52)</f>
        <v/>
      </c>
      <c r="R53" s="25">
        <f>SUM(R$43:R$52)</f>
        <v/>
      </c>
      <c r="S53" s="25">
        <f>SUM(S$43:S$52)</f>
        <v/>
      </c>
      <c r="T53" s="25">
        <f>SUM(T$43:T$52)</f>
        <v/>
      </c>
      <c r="U53" s="25">
        <f>SUM(U$43:U$52)</f>
        <v/>
      </c>
      <c r="V53" s="25">
        <f>SUM(V$43:V$52)</f>
        <v/>
      </c>
      <c r="W53" s="25">
        <f>SUM(W$43:W$52)</f>
        <v/>
      </c>
    </row>
    <row r="54">
      <c r="A54" s="14" t="inlineStr">
        <is>
          <t>Account executives</t>
        </is>
      </c>
      <c r="B54" t="inlineStr">
        <is>
          <t>people</t>
        </is>
      </c>
      <c r="C54" s="2" t="inlineStr">
        <is>
          <t>Roles marked Sells</t>
        </is>
      </c>
      <c r="D54" s="24">
        <f>SUMPRODUCT(D$43:D$52,Inputs!$D$51:$D$60)</f>
        <v/>
      </c>
      <c r="E54" s="24">
        <f>SUMPRODUCT(E$43:E$52,Inputs!$D$51:$D$60)</f>
        <v/>
      </c>
      <c r="F54" s="24">
        <f>SUMPRODUCT(F$43:F$52,Inputs!$D$51:$D$60)</f>
        <v/>
      </c>
      <c r="G54" s="24">
        <f>SUMPRODUCT(G$43:G$52,Inputs!$D$51:$D$60)</f>
        <v/>
      </c>
      <c r="H54" s="24">
        <f>SUMPRODUCT(H$43:H$52,Inputs!$D$51:$D$60)</f>
        <v/>
      </c>
      <c r="I54" s="24">
        <f>SUMPRODUCT(I$43:I$52,Inputs!$D$51:$D$60)</f>
        <v/>
      </c>
      <c r="J54" s="24">
        <f>SUMPRODUCT(J$43:J$52,Inputs!$D$51:$D$60)</f>
        <v/>
      </c>
      <c r="K54" s="24">
        <f>SUMPRODUCT(K$43:K$52,Inputs!$D$51:$D$60)</f>
        <v/>
      </c>
      <c r="L54" s="24">
        <f>SUMPRODUCT(L$43:L$52,Inputs!$D$51:$D$60)</f>
        <v/>
      </c>
      <c r="M54" s="24">
        <f>SUMPRODUCT(M$43:M$52,Inputs!$D$51:$D$60)</f>
        <v/>
      </c>
      <c r="N54" s="24">
        <f>SUMPRODUCT(N$43:N$52,Inputs!$D$51:$D$60)</f>
        <v/>
      </c>
      <c r="O54" s="24">
        <f>SUMPRODUCT(O$43:O$52,Inputs!$D$51:$D$60)</f>
        <v/>
      </c>
      <c r="P54" s="24">
        <f>SUMPRODUCT(P$43:P$52,Inputs!$D$51:$D$60)</f>
        <v/>
      </c>
      <c r="Q54" s="24">
        <f>SUMPRODUCT(Q$43:Q$52,Inputs!$D$51:$D$60)</f>
        <v/>
      </c>
      <c r="R54" s="24">
        <f>SUMPRODUCT(R$43:R$52,Inputs!$D$51:$D$60)</f>
        <v/>
      </c>
      <c r="S54" s="24">
        <f>SUMPRODUCT(S$43:S$52,Inputs!$D$51:$D$60)</f>
        <v/>
      </c>
      <c r="T54" s="24">
        <f>SUMPRODUCT(T$43:T$52,Inputs!$D$51:$D$60)</f>
        <v/>
      </c>
      <c r="U54" s="24">
        <f>SUMPRODUCT(U$43:U$52,Inputs!$D$51:$D$60)</f>
        <v/>
      </c>
      <c r="V54" s="24">
        <f>SUMPRODUCT(V$43:V$52,Inputs!$D$51:$D$60)</f>
        <v/>
      </c>
      <c r="W54" s="24">
        <f>SUMPRODUCT(W$43:W$52,Inputs!$D$51:$D$60)</f>
        <v/>
      </c>
    </row>
    <row r="55">
      <c r="A55" s="14" t="inlineStr">
        <is>
          <t>Engineers</t>
        </is>
      </c>
      <c r="B55" t="inlineStr">
        <is>
          <t>people</t>
        </is>
      </c>
      <c r="C55" s="2" t="inlineStr">
        <is>
          <t>Roles marked Engineer</t>
        </is>
      </c>
      <c r="D55" s="24">
        <f>SUMPRODUCT(D$43:D$52,Inputs!$E$51:$E$60)</f>
        <v/>
      </c>
      <c r="E55" s="24">
        <f>SUMPRODUCT(E$43:E$52,Inputs!$E$51:$E$60)</f>
        <v/>
      </c>
      <c r="F55" s="24">
        <f>SUMPRODUCT(F$43:F$52,Inputs!$E$51:$E$60)</f>
        <v/>
      </c>
      <c r="G55" s="24">
        <f>SUMPRODUCT(G$43:G$52,Inputs!$E$51:$E$60)</f>
        <v/>
      </c>
      <c r="H55" s="24">
        <f>SUMPRODUCT(H$43:H$52,Inputs!$E$51:$E$60)</f>
        <v/>
      </c>
      <c r="I55" s="24">
        <f>SUMPRODUCT(I$43:I$52,Inputs!$E$51:$E$60)</f>
        <v/>
      </c>
      <c r="J55" s="24">
        <f>SUMPRODUCT(J$43:J$52,Inputs!$E$51:$E$60)</f>
        <v/>
      </c>
      <c r="K55" s="24">
        <f>SUMPRODUCT(K$43:K$52,Inputs!$E$51:$E$60)</f>
        <v/>
      </c>
      <c r="L55" s="24">
        <f>SUMPRODUCT(L$43:L$52,Inputs!$E$51:$E$60)</f>
        <v/>
      </c>
      <c r="M55" s="24">
        <f>SUMPRODUCT(M$43:M$52,Inputs!$E$51:$E$60)</f>
        <v/>
      </c>
      <c r="N55" s="24">
        <f>SUMPRODUCT(N$43:N$52,Inputs!$E$51:$E$60)</f>
        <v/>
      </c>
      <c r="O55" s="24">
        <f>SUMPRODUCT(O$43:O$52,Inputs!$E$51:$E$60)</f>
        <v/>
      </c>
      <c r="P55" s="24">
        <f>SUMPRODUCT(P$43:P$52,Inputs!$E$51:$E$60)</f>
        <v/>
      </c>
      <c r="Q55" s="24">
        <f>SUMPRODUCT(Q$43:Q$52,Inputs!$E$51:$E$60)</f>
        <v/>
      </c>
      <c r="R55" s="24">
        <f>SUMPRODUCT(R$43:R$52,Inputs!$E$51:$E$60)</f>
        <v/>
      </c>
      <c r="S55" s="24">
        <f>SUMPRODUCT(S$43:S$52,Inputs!$E$51:$E$60)</f>
        <v/>
      </c>
      <c r="T55" s="24">
        <f>SUMPRODUCT(T$43:T$52,Inputs!$E$51:$E$60)</f>
        <v/>
      </c>
      <c r="U55" s="24">
        <f>SUMPRODUCT(U$43:U$52,Inputs!$E$51:$E$60)</f>
        <v/>
      </c>
      <c r="V55" s="24">
        <f>SUMPRODUCT(V$43:V$52,Inputs!$E$51:$E$60)</f>
        <v/>
      </c>
      <c r="W55" s="24">
        <f>SUMPRODUCT(W$43:W$52,Inputs!$E$51:$E$60)</f>
        <v/>
      </c>
    </row>
    <row r="56">
      <c r="A56" s="4" t="inlineStr">
        <is>
          <t>Customers</t>
        </is>
      </c>
      <c r="B56" s="5" t="n"/>
      <c r="C56" s="5" t="n"/>
      <c r="D56" s="5" t="n"/>
      <c r="E56" s="5" t="n"/>
      <c r="F56" s="5" t="n"/>
      <c r="G56" s="5" t="n"/>
      <c r="H56" s="5" t="n"/>
      <c r="I56" s="5" t="n"/>
      <c r="J56" s="5" t="n"/>
      <c r="K56" s="5" t="n"/>
      <c r="L56" s="5" t="n"/>
      <c r="M56" s="5" t="n"/>
      <c r="N56" s="5" t="n"/>
      <c r="O56" s="5" t="n"/>
      <c r="P56" s="5" t="n"/>
      <c r="Q56" s="5" t="n"/>
      <c r="R56" s="5" t="n"/>
      <c r="S56" s="5" t="n"/>
      <c r="T56" s="5" t="n"/>
      <c r="U56" s="5" t="n"/>
      <c r="V56" s="5" t="n"/>
      <c r="W56" s="5" t="n"/>
    </row>
    <row r="57">
      <c r="A57" s="14" t="inlineStr">
        <is>
          <t>Customers at the start</t>
        </is>
      </c>
      <c r="B57" t="inlineStr">
        <is>
          <t>customers</t>
        </is>
      </c>
      <c r="C57" s="2" t="inlineStr">
        <is>
          <t>Last quarter's closing customers</t>
        </is>
      </c>
      <c r="D57" s="15">
        <f>Inputs!$B$7</f>
        <v/>
      </c>
      <c r="E57" s="15">
        <f>D61</f>
        <v/>
      </c>
      <c r="F57" s="15">
        <f>E61</f>
        <v/>
      </c>
      <c r="G57" s="15">
        <f>F61</f>
        <v/>
      </c>
      <c r="H57" s="15">
        <f>G61</f>
        <v/>
      </c>
      <c r="I57" s="15">
        <f>H61</f>
        <v/>
      </c>
      <c r="J57" s="15">
        <f>I61</f>
        <v/>
      </c>
      <c r="K57" s="15">
        <f>J61</f>
        <v/>
      </c>
      <c r="L57" s="15">
        <f>K61</f>
        <v/>
      </c>
      <c r="M57" s="15">
        <f>L61</f>
        <v/>
      </c>
      <c r="N57" s="15">
        <f>M61</f>
        <v/>
      </c>
      <c r="O57" s="15">
        <f>N61</f>
        <v/>
      </c>
      <c r="P57" s="15">
        <f>O61</f>
        <v/>
      </c>
      <c r="Q57" s="15">
        <f>P61</f>
        <v/>
      </c>
      <c r="R57" s="15">
        <f>Q61</f>
        <v/>
      </c>
      <c r="S57" s="15">
        <f>R61</f>
        <v/>
      </c>
      <c r="T57" s="15">
        <f>S61</f>
        <v/>
      </c>
      <c r="U57" s="15">
        <f>T61</f>
        <v/>
      </c>
      <c r="V57" s="15">
        <f>U61</f>
        <v/>
      </c>
      <c r="W57" s="15">
        <f>V61</f>
        <v/>
      </c>
    </row>
    <row r="58">
      <c r="A58" s="14" t="inlineStr">
        <is>
          <t>Account executives selling</t>
        </is>
      </c>
      <c r="B58" t="inlineStr">
        <is>
          <t>people</t>
        </is>
      </c>
      <c r="C58" s="2" t="inlineStr">
        <is>
          <t>Last quarter's account executives (one quarter to ramp)</t>
        </is>
      </c>
      <c r="D58" s="24">
        <f>SUMPRODUCT(Inputs!$F$51:$F$60,Inputs!$D$51:$D$60)</f>
        <v/>
      </c>
      <c r="E58" s="24">
        <f>D54</f>
        <v/>
      </c>
      <c r="F58" s="24">
        <f>E54</f>
        <v/>
      </c>
      <c r="G58" s="24">
        <f>F54</f>
        <v/>
      </c>
      <c r="H58" s="24">
        <f>G54</f>
        <v/>
      </c>
      <c r="I58" s="24">
        <f>H54</f>
        <v/>
      </c>
      <c r="J58" s="24">
        <f>I54</f>
        <v/>
      </c>
      <c r="K58" s="24">
        <f>J54</f>
        <v/>
      </c>
      <c r="L58" s="24">
        <f>K54</f>
        <v/>
      </c>
      <c r="M58" s="24">
        <f>L54</f>
        <v/>
      </c>
      <c r="N58" s="24">
        <f>M54</f>
        <v/>
      </c>
      <c r="O58" s="24">
        <f>N54</f>
        <v/>
      </c>
      <c r="P58" s="24">
        <f>O54</f>
        <v/>
      </c>
      <c r="Q58" s="24">
        <f>P54</f>
        <v/>
      </c>
      <c r="R58" s="24">
        <f>Q54</f>
        <v/>
      </c>
      <c r="S58" s="24">
        <f>R54</f>
        <v/>
      </c>
      <c r="T58" s="24">
        <f>S54</f>
        <v/>
      </c>
      <c r="U58" s="24">
        <f>T54</f>
        <v/>
      </c>
      <c r="V58" s="24">
        <f>U54</f>
        <v/>
      </c>
      <c r="W58" s="24">
        <f>V54</f>
        <v/>
      </c>
    </row>
    <row r="59">
      <c r="A59" s="14" t="inlineStr">
        <is>
          <t>New customers</t>
        </is>
      </c>
      <c r="B59" t="inlineStr">
        <is>
          <t>customers</t>
        </is>
      </c>
      <c r="C59" s="2" t="inlineStr">
        <is>
          <t>Founder deals + account executives x deals each</t>
        </is>
      </c>
      <c r="D59" s="15">
        <f>ROUND(Inputs!$B$17+D58*Inputs!$B$18,0)</f>
        <v/>
      </c>
      <c r="E59" s="15">
        <f>ROUND(Inputs!$B$17+E58*Inputs!$B$18,0)</f>
        <v/>
      </c>
      <c r="F59" s="15">
        <f>ROUND(Inputs!$B$17+F58*Inputs!$B$18,0)</f>
        <v/>
      </c>
      <c r="G59" s="15">
        <f>ROUND(Inputs!$B$17+G58*Inputs!$B$18,0)</f>
        <v/>
      </c>
      <c r="H59" s="15">
        <f>ROUND(Inputs!$B$17+H58*Inputs!$B$18,0)</f>
        <v/>
      </c>
      <c r="I59" s="15">
        <f>ROUND(Inputs!$B$17+I58*Inputs!$B$18,0)</f>
        <v/>
      </c>
      <c r="J59" s="15">
        <f>ROUND(Inputs!$B$17+J58*Inputs!$B$18,0)</f>
        <v/>
      </c>
      <c r="K59" s="15">
        <f>ROUND(Inputs!$B$17+K58*Inputs!$B$18,0)</f>
        <v/>
      </c>
      <c r="L59" s="15">
        <f>ROUND(Inputs!$B$17+L58*Inputs!$B$18,0)</f>
        <v/>
      </c>
      <c r="M59" s="15">
        <f>ROUND(Inputs!$B$17+M58*Inputs!$B$18,0)</f>
        <v/>
      </c>
      <c r="N59" s="15">
        <f>ROUND(Inputs!$B$17+N58*Inputs!$B$18,0)</f>
        <v/>
      </c>
      <c r="O59" s="15">
        <f>ROUND(Inputs!$B$17+O58*Inputs!$B$18,0)</f>
        <v/>
      </c>
      <c r="P59" s="15">
        <f>ROUND(Inputs!$B$17+P58*Inputs!$B$18,0)</f>
        <v/>
      </c>
      <c r="Q59" s="15">
        <f>ROUND(Inputs!$B$17+Q58*Inputs!$B$18,0)</f>
        <v/>
      </c>
      <c r="R59" s="15">
        <f>ROUND(Inputs!$B$17+R58*Inputs!$B$18,0)</f>
        <v/>
      </c>
      <c r="S59" s="15">
        <f>ROUND(Inputs!$B$17+S58*Inputs!$B$18,0)</f>
        <v/>
      </c>
      <c r="T59" s="15">
        <f>ROUND(Inputs!$B$17+T58*Inputs!$B$18,0)</f>
        <v/>
      </c>
      <c r="U59" s="15">
        <f>ROUND(Inputs!$B$17+U58*Inputs!$B$18,0)</f>
        <v/>
      </c>
      <c r="V59" s="15">
        <f>ROUND(Inputs!$B$17+V58*Inputs!$B$18,0)</f>
        <v/>
      </c>
      <c r="W59" s="15">
        <f>ROUND(Inputs!$B$17+W58*Inputs!$B$18,0)</f>
        <v/>
      </c>
    </row>
    <row r="60">
      <c r="A60" s="14" t="inlineStr">
        <is>
          <t>Customers lost</t>
        </is>
      </c>
      <c r="B60" t="inlineStr">
        <is>
          <t>customers</t>
        </is>
      </c>
      <c r="C60" s="2" t="inlineStr">
        <is>
          <t>Customers at the start x churn</t>
        </is>
      </c>
      <c r="D60" s="15">
        <f>ROUND(D57*Inputs!$B$19,0)</f>
        <v/>
      </c>
      <c r="E60" s="15">
        <f>ROUND(E57*Inputs!$B$19,0)</f>
        <v/>
      </c>
      <c r="F60" s="15">
        <f>ROUND(F57*Inputs!$B$19,0)</f>
        <v/>
      </c>
      <c r="G60" s="15">
        <f>ROUND(G57*Inputs!$B$19,0)</f>
        <v/>
      </c>
      <c r="H60" s="15">
        <f>ROUND(H57*Inputs!$B$19,0)</f>
        <v/>
      </c>
      <c r="I60" s="15">
        <f>ROUND(I57*Inputs!$B$19,0)</f>
        <v/>
      </c>
      <c r="J60" s="15">
        <f>ROUND(J57*Inputs!$B$19,0)</f>
        <v/>
      </c>
      <c r="K60" s="15">
        <f>ROUND(K57*Inputs!$B$19,0)</f>
        <v/>
      </c>
      <c r="L60" s="15">
        <f>ROUND(L57*Inputs!$B$19,0)</f>
        <v/>
      </c>
      <c r="M60" s="15">
        <f>ROUND(M57*Inputs!$B$19,0)</f>
        <v/>
      </c>
      <c r="N60" s="15">
        <f>ROUND(N57*Inputs!$B$19,0)</f>
        <v/>
      </c>
      <c r="O60" s="15">
        <f>ROUND(O57*Inputs!$B$19,0)</f>
        <v/>
      </c>
      <c r="P60" s="15">
        <f>ROUND(P57*Inputs!$B$19,0)</f>
        <v/>
      </c>
      <c r="Q60" s="15">
        <f>ROUND(Q57*Inputs!$B$19,0)</f>
        <v/>
      </c>
      <c r="R60" s="15">
        <f>ROUND(R57*Inputs!$B$19,0)</f>
        <v/>
      </c>
      <c r="S60" s="15">
        <f>ROUND(S57*Inputs!$B$19,0)</f>
        <v/>
      </c>
      <c r="T60" s="15">
        <f>ROUND(T57*Inputs!$B$19,0)</f>
        <v/>
      </c>
      <c r="U60" s="15">
        <f>ROUND(U57*Inputs!$B$19,0)</f>
        <v/>
      </c>
      <c r="V60" s="15">
        <f>ROUND(V57*Inputs!$B$19,0)</f>
        <v/>
      </c>
      <c r="W60" s="15">
        <f>ROUND(W57*Inputs!$B$19,0)</f>
        <v/>
      </c>
    </row>
    <row r="61">
      <c r="A61" s="17" t="inlineStr">
        <is>
          <t>Customers at the end</t>
        </is>
      </c>
      <c r="B61" t="inlineStr">
        <is>
          <t>customers</t>
        </is>
      </c>
      <c r="C61" s="2" t="inlineStr">
        <is>
          <t>Start + new - lost</t>
        </is>
      </c>
      <c r="D61" s="26">
        <f>D57+D59-D60</f>
        <v/>
      </c>
      <c r="E61" s="26">
        <f>E57+E59-E60</f>
        <v/>
      </c>
      <c r="F61" s="26">
        <f>F57+F59-F60</f>
        <v/>
      </c>
      <c r="G61" s="26">
        <f>G57+G59-G60</f>
        <v/>
      </c>
      <c r="H61" s="26">
        <f>H57+H59-H60</f>
        <v/>
      </c>
      <c r="I61" s="26">
        <f>I57+I59-I60</f>
        <v/>
      </c>
      <c r="J61" s="26">
        <f>J57+J59-J60</f>
        <v/>
      </c>
      <c r="K61" s="26">
        <f>K57+K59-K60</f>
        <v/>
      </c>
      <c r="L61" s="26">
        <f>L57+L59-L60</f>
        <v/>
      </c>
      <c r="M61" s="26">
        <f>M57+M59-M60</f>
        <v/>
      </c>
      <c r="N61" s="26">
        <f>N57+N59-N60</f>
        <v/>
      </c>
      <c r="O61" s="26">
        <f>O57+O59-O60</f>
        <v/>
      </c>
      <c r="P61" s="26">
        <f>P57+P59-P60</f>
        <v/>
      </c>
      <c r="Q61" s="26">
        <f>Q57+Q59-Q60</f>
        <v/>
      </c>
      <c r="R61" s="26">
        <f>R57+R59-R60</f>
        <v/>
      </c>
      <c r="S61" s="26">
        <f>S57+S59-S60</f>
        <v/>
      </c>
      <c r="T61" s="26">
        <f>T57+T59-T60</f>
        <v/>
      </c>
      <c r="U61" s="26">
        <f>U57+U59-U60</f>
        <v/>
      </c>
      <c r="V61" s="26">
        <f>V57+V59-V60</f>
        <v/>
      </c>
      <c r="W61" s="26">
        <f>W57+W59-W60</f>
        <v/>
      </c>
    </row>
    <row r="62">
      <c r="A62" s="14" t="inlineStr">
        <is>
          <t>Average customers</t>
        </is>
      </c>
      <c r="B62" t="inlineStr">
        <is>
          <t>customers</t>
        </is>
      </c>
      <c r="C62" s="2" t="inlineStr">
        <is>
          <t>(Start + end) / 2</t>
        </is>
      </c>
      <c r="D62" s="24">
        <f>(D57+D61)/2</f>
        <v/>
      </c>
      <c r="E62" s="24">
        <f>(E57+E61)/2</f>
        <v/>
      </c>
      <c r="F62" s="24">
        <f>(F57+F61)/2</f>
        <v/>
      </c>
      <c r="G62" s="24">
        <f>(G57+G61)/2</f>
        <v/>
      </c>
      <c r="H62" s="24">
        <f>(H57+H61)/2</f>
        <v/>
      </c>
      <c r="I62" s="24">
        <f>(I57+I61)/2</f>
        <v/>
      </c>
      <c r="J62" s="24">
        <f>(J57+J61)/2</f>
        <v/>
      </c>
      <c r="K62" s="24">
        <f>(K57+K61)/2</f>
        <v/>
      </c>
      <c r="L62" s="24">
        <f>(L57+L61)/2</f>
        <v/>
      </c>
      <c r="M62" s="24">
        <f>(M57+M61)/2</f>
        <v/>
      </c>
      <c r="N62" s="24">
        <f>(N57+N61)/2</f>
        <v/>
      </c>
      <c r="O62" s="24">
        <f>(O57+O61)/2</f>
        <v/>
      </c>
      <c r="P62" s="24">
        <f>(P57+P61)/2</f>
        <v/>
      </c>
      <c r="Q62" s="24">
        <f>(Q57+Q61)/2</f>
        <v/>
      </c>
      <c r="R62" s="24">
        <f>(R57+R61)/2</f>
        <v/>
      </c>
      <c r="S62" s="24">
        <f>(S57+S61)/2</f>
        <v/>
      </c>
      <c r="T62" s="24">
        <f>(T57+T61)/2</f>
        <v/>
      </c>
      <c r="U62" s="24">
        <f>(U57+U61)/2</f>
        <v/>
      </c>
      <c r="V62" s="24">
        <f>(V57+V61)/2</f>
        <v/>
      </c>
      <c r="W62" s="24">
        <f>(W57+W61)/2</f>
        <v/>
      </c>
    </row>
    <row r="63">
      <c r="A63" s="4" t="inlineStr">
        <is>
          <t>Usage</t>
        </is>
      </c>
      <c r="B63" s="5" t="n"/>
      <c r="C63" s="5" t="n"/>
      <c r="D63" s="5" t="n"/>
      <c r="E63" s="5" t="n"/>
      <c r="F63" s="5" t="n"/>
      <c r="G63" s="5" t="n"/>
      <c r="H63" s="5" t="n"/>
      <c r="I63" s="5" t="n"/>
      <c r="J63" s="5" t="n"/>
      <c r="K63" s="5" t="n"/>
      <c r="L63" s="5" t="n"/>
      <c r="M63" s="5" t="n"/>
      <c r="N63" s="5" t="n"/>
      <c r="O63" s="5" t="n"/>
      <c r="P63" s="5" t="n"/>
      <c r="Q63" s="5" t="n"/>
      <c r="R63" s="5" t="n"/>
      <c r="S63" s="5" t="n"/>
      <c r="T63" s="5" t="n"/>
      <c r="U63" s="5" t="n"/>
      <c r="V63" s="5" t="n"/>
      <c r="W63" s="5" t="n"/>
    </row>
    <row r="64">
      <c r="A64" s="14" t="inlineStr">
        <is>
          <t>Conversations a month, start of quarter</t>
        </is>
      </c>
      <c r="B64" t="inlineStr">
        <is>
          <t>a month</t>
        </is>
      </c>
      <c r="C64" s="2" t="inlineStr">
        <is>
          <t>Last quarter's closing rate</t>
        </is>
      </c>
      <c r="D64" s="15">
        <f>Inputs!$B$8</f>
        <v/>
      </c>
      <c r="E64" s="15">
        <f>D65</f>
        <v/>
      </c>
      <c r="F64" s="15">
        <f>E65</f>
        <v/>
      </c>
      <c r="G64" s="15">
        <f>F65</f>
        <v/>
      </c>
      <c r="H64" s="15">
        <f>G65</f>
        <v/>
      </c>
      <c r="I64" s="15">
        <f>H65</f>
        <v/>
      </c>
      <c r="J64" s="15">
        <f>I65</f>
        <v/>
      </c>
      <c r="K64" s="15">
        <f>J65</f>
        <v/>
      </c>
      <c r="L64" s="15">
        <f>K65</f>
        <v/>
      </c>
      <c r="M64" s="15">
        <f>L65</f>
        <v/>
      </c>
      <c r="N64" s="15">
        <f>M65</f>
        <v/>
      </c>
      <c r="O64" s="15">
        <f>N65</f>
        <v/>
      </c>
      <c r="P64" s="15">
        <f>O65</f>
        <v/>
      </c>
      <c r="Q64" s="15">
        <f>P65</f>
        <v/>
      </c>
      <c r="R64" s="15">
        <f>Q65</f>
        <v/>
      </c>
      <c r="S64" s="15">
        <f>R65</f>
        <v/>
      </c>
      <c r="T64" s="15">
        <f>S65</f>
        <v/>
      </c>
      <c r="U64" s="15">
        <f>T65</f>
        <v/>
      </c>
      <c r="V64" s="15">
        <f>U65</f>
        <v/>
      </c>
      <c r="W64" s="15">
        <f>V65</f>
        <v/>
      </c>
    </row>
    <row r="65">
      <c r="A65" s="14" t="inlineStr">
        <is>
          <t>Conversations a month, end of quarter</t>
        </is>
      </c>
      <c r="B65" t="inlineStr">
        <is>
          <t>a month</t>
        </is>
      </c>
      <c r="C65" s="2" t="inlineStr">
        <is>
          <t>Start x (1 - churn) x (1 + growth) + new customers x new-customer volume</t>
        </is>
      </c>
      <c r="D65" s="15">
        <f>D64*(1-Inputs!$B$19)*(1+Inputs!$B$21)+D59*Inputs!$B$20</f>
        <v/>
      </c>
      <c r="E65" s="15">
        <f>E64*(1-Inputs!$B$19)*(1+Inputs!$B$21)+E59*Inputs!$B$20</f>
        <v/>
      </c>
      <c r="F65" s="15">
        <f>F64*(1-Inputs!$B$19)*(1+Inputs!$B$21)+F59*Inputs!$B$20</f>
        <v/>
      </c>
      <c r="G65" s="15">
        <f>G64*(1-Inputs!$B$19)*(1+Inputs!$B$21)+G59*Inputs!$B$20</f>
        <v/>
      </c>
      <c r="H65" s="15">
        <f>H64*(1-Inputs!$B$19)*(1+Inputs!$B$21)+H59*Inputs!$B$20</f>
        <v/>
      </c>
      <c r="I65" s="15">
        <f>I64*(1-Inputs!$B$19)*(1+Inputs!$B$21)+I59*Inputs!$B$20</f>
        <v/>
      </c>
      <c r="J65" s="15">
        <f>J64*(1-Inputs!$B$19)*(1+Inputs!$B$21)+J59*Inputs!$B$20</f>
        <v/>
      </c>
      <c r="K65" s="15">
        <f>K64*(1-Inputs!$B$19)*(1+Inputs!$B$21)+K59*Inputs!$B$20</f>
        <v/>
      </c>
      <c r="L65" s="15">
        <f>L64*(1-Inputs!$B$19)*(1+Inputs!$B$21)+L59*Inputs!$B$20</f>
        <v/>
      </c>
      <c r="M65" s="15">
        <f>M64*(1-Inputs!$B$19)*(1+Inputs!$B$21)+M59*Inputs!$B$20</f>
        <v/>
      </c>
      <c r="N65" s="15">
        <f>N64*(1-Inputs!$B$19)*(1+Inputs!$B$21)+N59*Inputs!$B$20</f>
        <v/>
      </c>
      <c r="O65" s="15">
        <f>O64*(1-Inputs!$B$19)*(1+Inputs!$B$21)+O59*Inputs!$B$20</f>
        <v/>
      </c>
      <c r="P65" s="15">
        <f>P64*(1-Inputs!$B$19)*(1+Inputs!$B$21)+P59*Inputs!$B$20</f>
        <v/>
      </c>
      <c r="Q65" s="15">
        <f>Q64*(1-Inputs!$B$19)*(1+Inputs!$B$21)+Q59*Inputs!$B$20</f>
        <v/>
      </c>
      <c r="R65" s="15">
        <f>R64*(1-Inputs!$B$19)*(1+Inputs!$B$21)+R59*Inputs!$B$20</f>
        <v/>
      </c>
      <c r="S65" s="15">
        <f>S64*(1-Inputs!$B$19)*(1+Inputs!$B$21)+S59*Inputs!$B$20</f>
        <v/>
      </c>
      <c r="T65" s="15">
        <f>T64*(1-Inputs!$B$19)*(1+Inputs!$B$21)+T59*Inputs!$B$20</f>
        <v/>
      </c>
      <c r="U65" s="15">
        <f>U64*(1-Inputs!$B$19)*(1+Inputs!$B$21)+U59*Inputs!$B$20</f>
        <v/>
      </c>
      <c r="V65" s="15">
        <f>V64*(1-Inputs!$B$19)*(1+Inputs!$B$21)+V59*Inputs!$B$20</f>
        <v/>
      </c>
      <c r="W65" s="15">
        <f>W64*(1-Inputs!$B$19)*(1+Inputs!$B$21)+W59*Inputs!$B$20</f>
        <v/>
      </c>
    </row>
    <row r="66">
      <c r="A66" s="14" t="inlineStr">
        <is>
          <t>Conversations in the quarter</t>
        </is>
      </c>
      <c r="B66" t="inlineStr">
        <is>
          <t>conversations</t>
        </is>
      </c>
      <c r="C66" s="2" t="inlineStr">
        <is>
          <t>Average monthly rate x 3</t>
        </is>
      </c>
      <c r="D66" s="15">
        <f>(D64+D65)/2*3</f>
        <v/>
      </c>
      <c r="E66" s="15">
        <f>(E64+E65)/2*3</f>
        <v/>
      </c>
      <c r="F66" s="15">
        <f>(F64+F65)/2*3</f>
        <v/>
      </c>
      <c r="G66" s="15">
        <f>(G64+G65)/2*3</f>
        <v/>
      </c>
      <c r="H66" s="15">
        <f>(H64+H65)/2*3</f>
        <v/>
      </c>
      <c r="I66" s="15">
        <f>(I64+I65)/2*3</f>
        <v/>
      </c>
      <c r="J66" s="15">
        <f>(J64+J65)/2*3</f>
        <v/>
      </c>
      <c r="K66" s="15">
        <f>(K64+K65)/2*3</f>
        <v/>
      </c>
      <c r="L66" s="15">
        <f>(L64+L65)/2*3</f>
        <v/>
      </c>
      <c r="M66" s="15">
        <f>(M64+M65)/2*3</f>
        <v/>
      </c>
      <c r="N66" s="15">
        <f>(N64+N65)/2*3</f>
        <v/>
      </c>
      <c r="O66" s="15">
        <f>(O64+O65)/2*3</f>
        <v/>
      </c>
      <c r="P66" s="15">
        <f>(P64+P65)/2*3</f>
        <v/>
      </c>
      <c r="Q66" s="15">
        <f>(Q64+Q65)/2*3</f>
        <v/>
      </c>
      <c r="R66" s="15">
        <f>(R64+R65)/2*3</f>
        <v/>
      </c>
      <c r="S66" s="15">
        <f>(S64+S65)/2*3</f>
        <v/>
      </c>
      <c r="T66" s="15">
        <f>(T64+T65)/2*3</f>
        <v/>
      </c>
      <c r="U66" s="15">
        <f>(U64+U65)/2*3</f>
        <v/>
      </c>
      <c r="V66" s="15">
        <f>(V64+V65)/2*3</f>
        <v/>
      </c>
      <c r="W66" s="15">
        <f>(W64+W65)/2*3</f>
        <v/>
      </c>
    </row>
    <row r="67">
      <c r="A67" s="14" t="inlineStr">
        <is>
          <t>Share the AI resolves</t>
        </is>
      </c>
      <c r="B67" t="inlineStr">
        <is>
          <t>%</t>
        </is>
      </c>
      <c r="C67" s="2" t="inlineStr">
        <is>
          <t>From Inputs, by year</t>
        </is>
      </c>
      <c r="D67" s="16">
        <f>INDEX(Inputs!$B$22:$B$26,D40)</f>
        <v/>
      </c>
      <c r="E67" s="16">
        <f>INDEX(Inputs!$B$22:$B$26,E40)</f>
        <v/>
      </c>
      <c r="F67" s="16">
        <f>INDEX(Inputs!$B$22:$B$26,F40)</f>
        <v/>
      </c>
      <c r="G67" s="16">
        <f>INDEX(Inputs!$B$22:$B$26,G40)</f>
        <v/>
      </c>
      <c r="H67" s="16">
        <f>INDEX(Inputs!$B$22:$B$26,H40)</f>
        <v/>
      </c>
      <c r="I67" s="16">
        <f>INDEX(Inputs!$B$22:$B$26,I40)</f>
        <v/>
      </c>
      <c r="J67" s="16">
        <f>INDEX(Inputs!$B$22:$B$26,J40)</f>
        <v/>
      </c>
      <c r="K67" s="16">
        <f>INDEX(Inputs!$B$22:$B$26,K40)</f>
        <v/>
      </c>
      <c r="L67" s="16">
        <f>INDEX(Inputs!$B$22:$B$26,L40)</f>
        <v/>
      </c>
      <c r="M67" s="16">
        <f>INDEX(Inputs!$B$22:$B$26,M40)</f>
        <v/>
      </c>
      <c r="N67" s="16">
        <f>INDEX(Inputs!$B$22:$B$26,N40)</f>
        <v/>
      </c>
      <c r="O67" s="16">
        <f>INDEX(Inputs!$B$22:$B$26,O40)</f>
        <v/>
      </c>
      <c r="P67" s="16">
        <f>INDEX(Inputs!$B$22:$B$26,P40)</f>
        <v/>
      </c>
      <c r="Q67" s="16">
        <f>INDEX(Inputs!$B$22:$B$26,Q40)</f>
        <v/>
      </c>
      <c r="R67" s="16">
        <f>INDEX(Inputs!$B$22:$B$26,R40)</f>
        <v/>
      </c>
      <c r="S67" s="16">
        <f>INDEX(Inputs!$B$22:$B$26,S40)</f>
        <v/>
      </c>
      <c r="T67" s="16">
        <f>INDEX(Inputs!$B$22:$B$26,T40)</f>
        <v/>
      </c>
      <c r="U67" s="16">
        <f>INDEX(Inputs!$B$22:$B$26,U40)</f>
        <v/>
      </c>
      <c r="V67" s="16">
        <f>INDEX(Inputs!$B$22:$B$26,V40)</f>
        <v/>
      </c>
      <c r="W67" s="16">
        <f>INDEX(Inputs!$B$22:$B$26,W40)</f>
        <v/>
      </c>
    </row>
    <row r="68">
      <c r="A68" s="14" t="inlineStr">
        <is>
          <t>Resolutions in the quarter</t>
        </is>
      </c>
      <c r="B68" t="inlineStr">
        <is>
          <t>resolutions</t>
        </is>
      </c>
      <c r="C68" s="2" t="inlineStr">
        <is>
          <t>Conversations x share resolved</t>
        </is>
      </c>
      <c r="D68" s="15">
        <f>D66*D67</f>
        <v/>
      </c>
      <c r="E68" s="15">
        <f>E66*E67</f>
        <v/>
      </c>
      <c r="F68" s="15">
        <f>F66*F67</f>
        <v/>
      </c>
      <c r="G68" s="15">
        <f>G66*G67</f>
        <v/>
      </c>
      <c r="H68" s="15">
        <f>H66*H67</f>
        <v/>
      </c>
      <c r="I68" s="15">
        <f>I66*I67</f>
        <v/>
      </c>
      <c r="J68" s="15">
        <f>J66*J67</f>
        <v/>
      </c>
      <c r="K68" s="15">
        <f>K66*K67</f>
        <v/>
      </c>
      <c r="L68" s="15">
        <f>L66*L67</f>
        <v/>
      </c>
      <c r="M68" s="15">
        <f>M66*M67</f>
        <v/>
      </c>
      <c r="N68" s="15">
        <f>N66*N67</f>
        <v/>
      </c>
      <c r="O68" s="15">
        <f>O66*O67</f>
        <v/>
      </c>
      <c r="P68" s="15">
        <f>P66*P67</f>
        <v/>
      </c>
      <c r="Q68" s="15">
        <f>Q66*Q67</f>
        <v/>
      </c>
      <c r="R68" s="15">
        <f>R66*R67</f>
        <v/>
      </c>
      <c r="S68" s="15">
        <f>S66*S67</f>
        <v/>
      </c>
      <c r="T68" s="15">
        <f>T66*T67</f>
        <v/>
      </c>
      <c r="U68" s="15">
        <f>U66*U67</f>
        <v/>
      </c>
      <c r="V68" s="15">
        <f>V66*V67</f>
        <v/>
      </c>
      <c r="W68" s="15">
        <f>W66*W67</f>
        <v/>
      </c>
    </row>
    <row r="69">
      <c r="A69" s="4" t="inlineStr">
        <is>
          <t>Revenue under each pricing model</t>
        </is>
      </c>
      <c r="B69" s="5" t="n"/>
      <c r="C69" s="5" t="n"/>
      <c r="D69" s="5" t="n"/>
      <c r="E69" s="5" t="n"/>
      <c r="F69" s="5" t="n"/>
      <c r="G69" s="5" t="n"/>
      <c r="H69" s="5" t="n"/>
      <c r="I69" s="5" t="n"/>
      <c r="J69" s="5" t="n"/>
      <c r="K69" s="5" t="n"/>
      <c r="L69" s="5" t="n"/>
      <c r="M69" s="5" t="n"/>
      <c r="N69" s="5" t="n"/>
      <c r="O69" s="5" t="n"/>
      <c r="P69" s="5" t="n"/>
      <c r="Q69" s="5" t="n"/>
      <c r="R69" s="5" t="n"/>
      <c r="S69" s="5" t="n"/>
      <c r="T69" s="5" t="n"/>
      <c r="U69" s="5" t="n"/>
      <c r="V69" s="5" t="n"/>
      <c r="W69" s="5" t="n"/>
    </row>
    <row r="70">
      <c r="A70" s="14" t="inlineStr">
        <is>
          <t>Price index</t>
        </is>
      </c>
      <c r="B70" t="inlineStr">
        <is>
          <t>x</t>
        </is>
      </c>
      <c r="C70" s="2" t="inlineStr">
        <is>
          <t>(1 + yearly price change) ^ (year - 1)</t>
        </is>
      </c>
      <c r="D70" s="27">
        <f>(1+Inputs!$B$35)^(D40-1)</f>
        <v/>
      </c>
      <c r="E70" s="27">
        <f>(1+Inputs!$B$35)^(E40-1)</f>
        <v/>
      </c>
      <c r="F70" s="27">
        <f>(1+Inputs!$B$35)^(F40-1)</f>
        <v/>
      </c>
      <c r="G70" s="27">
        <f>(1+Inputs!$B$35)^(G40-1)</f>
        <v/>
      </c>
      <c r="H70" s="27">
        <f>(1+Inputs!$B$35)^(H40-1)</f>
        <v/>
      </c>
      <c r="I70" s="27">
        <f>(1+Inputs!$B$35)^(I40-1)</f>
        <v/>
      </c>
      <c r="J70" s="27">
        <f>(1+Inputs!$B$35)^(J40-1)</f>
        <v/>
      </c>
      <c r="K70" s="27">
        <f>(1+Inputs!$B$35)^(K40-1)</f>
        <v/>
      </c>
      <c r="L70" s="27">
        <f>(1+Inputs!$B$35)^(L40-1)</f>
        <v/>
      </c>
      <c r="M70" s="27">
        <f>(1+Inputs!$B$35)^(M40-1)</f>
        <v/>
      </c>
      <c r="N70" s="27">
        <f>(1+Inputs!$B$35)^(N40-1)</f>
        <v/>
      </c>
      <c r="O70" s="27">
        <f>(1+Inputs!$B$35)^(O40-1)</f>
        <v/>
      </c>
      <c r="P70" s="27">
        <f>(1+Inputs!$B$35)^(P40-1)</f>
        <v/>
      </c>
      <c r="Q70" s="27">
        <f>(1+Inputs!$B$35)^(Q40-1)</f>
        <v/>
      </c>
      <c r="R70" s="27">
        <f>(1+Inputs!$B$35)^(R40-1)</f>
        <v/>
      </c>
      <c r="S70" s="27">
        <f>(1+Inputs!$B$35)^(S40-1)</f>
        <v/>
      </c>
      <c r="T70" s="27">
        <f>(1+Inputs!$B$35)^(T40-1)</f>
        <v/>
      </c>
      <c r="U70" s="27">
        <f>(1+Inputs!$B$35)^(U40-1)</f>
        <v/>
      </c>
      <c r="V70" s="27">
        <f>(1+Inputs!$B$35)^(V40-1)</f>
        <v/>
      </c>
      <c r="W70" s="27">
        <f>(1+Inputs!$B$35)^(W40-1)</f>
        <v/>
      </c>
    </row>
    <row r="71">
      <c r="A71" s="14" t="inlineStr">
        <is>
          <t>Human agent seats the customers need</t>
        </is>
      </c>
      <c r="B71" t="inlineStr">
        <is>
          <t>seats</t>
        </is>
      </c>
      <c r="C71" s="2" t="inlineStr">
        <is>
          <t>Unresolved conversations a month / conversations per agent</t>
        </is>
      </c>
      <c r="D71" s="15">
        <f>D66/3*(1-D67)/Inputs!$B$30</f>
        <v/>
      </c>
      <c r="E71" s="15">
        <f>E66/3*(1-E67)/Inputs!$B$30</f>
        <v/>
      </c>
      <c r="F71" s="15">
        <f>F66/3*(1-F67)/Inputs!$B$30</f>
        <v/>
      </c>
      <c r="G71" s="15">
        <f>G66/3*(1-G67)/Inputs!$B$30</f>
        <v/>
      </c>
      <c r="H71" s="15">
        <f>H66/3*(1-H67)/Inputs!$B$30</f>
        <v/>
      </c>
      <c r="I71" s="15">
        <f>I66/3*(1-I67)/Inputs!$B$30</f>
        <v/>
      </c>
      <c r="J71" s="15">
        <f>J66/3*(1-J67)/Inputs!$B$30</f>
        <v/>
      </c>
      <c r="K71" s="15">
        <f>K66/3*(1-K67)/Inputs!$B$30</f>
        <v/>
      </c>
      <c r="L71" s="15">
        <f>L66/3*(1-L67)/Inputs!$B$30</f>
        <v/>
      </c>
      <c r="M71" s="15">
        <f>M66/3*(1-M67)/Inputs!$B$30</f>
        <v/>
      </c>
      <c r="N71" s="15">
        <f>N66/3*(1-N67)/Inputs!$B$30</f>
        <v/>
      </c>
      <c r="O71" s="15">
        <f>O66/3*(1-O67)/Inputs!$B$30</f>
        <v/>
      </c>
      <c r="P71" s="15">
        <f>P66/3*(1-P67)/Inputs!$B$30</f>
        <v/>
      </c>
      <c r="Q71" s="15">
        <f>Q66/3*(1-Q67)/Inputs!$B$30</f>
        <v/>
      </c>
      <c r="R71" s="15">
        <f>R66/3*(1-R67)/Inputs!$B$30</f>
        <v/>
      </c>
      <c r="S71" s="15">
        <f>S66/3*(1-S67)/Inputs!$B$30</f>
        <v/>
      </c>
      <c r="T71" s="15">
        <f>T66/3*(1-T67)/Inputs!$B$30</f>
        <v/>
      </c>
      <c r="U71" s="15">
        <f>U66/3*(1-U67)/Inputs!$B$30</f>
        <v/>
      </c>
      <c r="V71" s="15">
        <f>V66/3*(1-V67)/Inputs!$B$30</f>
        <v/>
      </c>
      <c r="W71" s="15">
        <f>W66/3*(1-W67)/Inputs!$B$30</f>
        <v/>
      </c>
    </row>
    <row r="72">
      <c r="A72" s="14" t="inlineStr">
        <is>
          <t>Revenue if priced per seat</t>
        </is>
      </c>
      <c r="B72" t="inlineStr">
        <is>
          <t>$</t>
        </is>
      </c>
      <c r="C72" s="2" t="inlineStr">
        <is>
          <t>Seats x seat price x 3</t>
        </is>
      </c>
      <c r="D72" s="18">
        <f>D71*Inputs!$B$29*D70*3</f>
        <v/>
      </c>
      <c r="E72" s="18">
        <f>E71*Inputs!$B$29*E70*3</f>
        <v/>
      </c>
      <c r="F72" s="18">
        <f>F71*Inputs!$B$29*F70*3</f>
        <v/>
      </c>
      <c r="G72" s="18">
        <f>G71*Inputs!$B$29*G70*3</f>
        <v/>
      </c>
      <c r="H72" s="18">
        <f>H71*Inputs!$B$29*H70*3</f>
        <v/>
      </c>
      <c r="I72" s="18">
        <f>I71*Inputs!$B$29*I70*3</f>
        <v/>
      </c>
      <c r="J72" s="18">
        <f>J71*Inputs!$B$29*J70*3</f>
        <v/>
      </c>
      <c r="K72" s="18">
        <f>K71*Inputs!$B$29*K70*3</f>
        <v/>
      </c>
      <c r="L72" s="18">
        <f>L71*Inputs!$B$29*L70*3</f>
        <v/>
      </c>
      <c r="M72" s="18">
        <f>M71*Inputs!$B$29*M70*3</f>
        <v/>
      </c>
      <c r="N72" s="18">
        <f>N71*Inputs!$B$29*N70*3</f>
        <v/>
      </c>
      <c r="O72" s="18">
        <f>O71*Inputs!$B$29*O70*3</f>
        <v/>
      </c>
      <c r="P72" s="18">
        <f>P71*Inputs!$B$29*P70*3</f>
        <v/>
      </c>
      <c r="Q72" s="18">
        <f>Q71*Inputs!$B$29*Q70*3</f>
        <v/>
      </c>
      <c r="R72" s="18">
        <f>R71*Inputs!$B$29*R70*3</f>
        <v/>
      </c>
      <c r="S72" s="18">
        <f>S71*Inputs!$B$29*S70*3</f>
        <v/>
      </c>
      <c r="T72" s="18">
        <f>T71*Inputs!$B$29*T70*3</f>
        <v/>
      </c>
      <c r="U72" s="18">
        <f>U71*Inputs!$B$29*U70*3</f>
        <v/>
      </c>
      <c r="V72" s="18">
        <f>V71*Inputs!$B$29*V70*3</f>
        <v/>
      </c>
      <c r="W72" s="18">
        <f>W71*Inputs!$B$29*W70*3</f>
        <v/>
      </c>
    </row>
    <row r="73">
      <c r="A73" s="14" t="inlineStr">
        <is>
          <t>Revenue if priced per conversation</t>
        </is>
      </c>
      <c r="B73" t="inlineStr">
        <is>
          <t>$</t>
        </is>
      </c>
      <c r="C73" s="2" t="inlineStr">
        <is>
          <t>Conversations x price</t>
        </is>
      </c>
      <c r="D73" s="18">
        <f>D66*Inputs!$B$31*D70</f>
        <v/>
      </c>
      <c r="E73" s="18">
        <f>E66*Inputs!$B$31*E70</f>
        <v/>
      </c>
      <c r="F73" s="18">
        <f>F66*Inputs!$B$31*F70</f>
        <v/>
      </c>
      <c r="G73" s="18">
        <f>G66*Inputs!$B$31*G70</f>
        <v/>
      </c>
      <c r="H73" s="18">
        <f>H66*Inputs!$B$31*H70</f>
        <v/>
      </c>
      <c r="I73" s="18">
        <f>I66*Inputs!$B$31*I70</f>
        <v/>
      </c>
      <c r="J73" s="18">
        <f>J66*Inputs!$B$31*J70</f>
        <v/>
      </c>
      <c r="K73" s="18">
        <f>K66*Inputs!$B$31*K70</f>
        <v/>
      </c>
      <c r="L73" s="18">
        <f>L66*Inputs!$B$31*L70</f>
        <v/>
      </c>
      <c r="M73" s="18">
        <f>M66*Inputs!$B$31*M70</f>
        <v/>
      </c>
      <c r="N73" s="18">
        <f>N66*Inputs!$B$31*N70</f>
        <v/>
      </c>
      <c r="O73" s="18">
        <f>O66*Inputs!$B$31*O70</f>
        <v/>
      </c>
      <c r="P73" s="18">
        <f>P66*Inputs!$B$31*P70</f>
        <v/>
      </c>
      <c r="Q73" s="18">
        <f>Q66*Inputs!$B$31*Q70</f>
        <v/>
      </c>
      <c r="R73" s="18">
        <f>R66*Inputs!$B$31*R70</f>
        <v/>
      </c>
      <c r="S73" s="18">
        <f>S66*Inputs!$B$31*S70</f>
        <v/>
      </c>
      <c r="T73" s="18">
        <f>T66*Inputs!$B$31*T70</f>
        <v/>
      </c>
      <c r="U73" s="18">
        <f>U66*Inputs!$B$31*U70</f>
        <v/>
      </c>
      <c r="V73" s="18">
        <f>V66*Inputs!$B$31*V70</f>
        <v/>
      </c>
      <c r="W73" s="18">
        <f>W66*Inputs!$B$31*W70</f>
        <v/>
      </c>
    </row>
    <row r="74">
      <c r="A74" s="14" t="inlineStr">
        <is>
          <t>Revenue if priced per resolution</t>
        </is>
      </c>
      <c r="B74" t="inlineStr">
        <is>
          <t>$</t>
        </is>
      </c>
      <c r="C74" s="2" t="inlineStr">
        <is>
          <t>Resolutions x price</t>
        </is>
      </c>
      <c r="D74" s="18">
        <f>D68*Inputs!$B$32*D70</f>
        <v/>
      </c>
      <c r="E74" s="18">
        <f>E68*Inputs!$B$32*E70</f>
        <v/>
      </c>
      <c r="F74" s="18">
        <f>F68*Inputs!$B$32*F70</f>
        <v/>
      </c>
      <c r="G74" s="18">
        <f>G68*Inputs!$B$32*G70</f>
        <v/>
      </c>
      <c r="H74" s="18">
        <f>H68*Inputs!$B$32*H70</f>
        <v/>
      </c>
      <c r="I74" s="18">
        <f>I68*Inputs!$B$32*I70</f>
        <v/>
      </c>
      <c r="J74" s="18">
        <f>J68*Inputs!$B$32*J70</f>
        <v/>
      </c>
      <c r="K74" s="18">
        <f>K68*Inputs!$B$32*K70</f>
        <v/>
      </c>
      <c r="L74" s="18">
        <f>L68*Inputs!$B$32*L70</f>
        <v/>
      </c>
      <c r="M74" s="18">
        <f>M68*Inputs!$B$32*M70</f>
        <v/>
      </c>
      <c r="N74" s="18">
        <f>N68*Inputs!$B$32*N70</f>
        <v/>
      </c>
      <c r="O74" s="18">
        <f>O68*Inputs!$B$32*O70</f>
        <v/>
      </c>
      <c r="P74" s="18">
        <f>P68*Inputs!$B$32*P70</f>
        <v/>
      </c>
      <c r="Q74" s="18">
        <f>Q68*Inputs!$B$32*Q70</f>
        <v/>
      </c>
      <c r="R74" s="18">
        <f>R68*Inputs!$B$32*R70</f>
        <v/>
      </c>
      <c r="S74" s="18">
        <f>S68*Inputs!$B$32*S70</f>
        <v/>
      </c>
      <c r="T74" s="18">
        <f>T68*Inputs!$B$32*T70</f>
        <v/>
      </c>
      <c r="U74" s="18">
        <f>U68*Inputs!$B$32*U70</f>
        <v/>
      </c>
      <c r="V74" s="18">
        <f>V68*Inputs!$B$32*V70</f>
        <v/>
      </c>
      <c r="W74" s="18">
        <f>W68*Inputs!$B$32*W70</f>
        <v/>
      </c>
    </row>
    <row r="75">
      <c r="A75" s="14" t="inlineStr">
        <is>
          <t>Revenue if hybrid</t>
        </is>
      </c>
      <c r="B75" t="inlineStr">
        <is>
          <t>$</t>
        </is>
      </c>
      <c r="C75" s="2" t="inlineStr">
        <is>
          <t>Average customers x fee x 3 + resolutions x price</t>
        </is>
      </c>
      <c r="D75" s="18">
        <f>D62*Inputs!$B$33*D70*3+D68*Inputs!$B$34*D70</f>
        <v/>
      </c>
      <c r="E75" s="18">
        <f>E62*Inputs!$B$33*E70*3+E68*Inputs!$B$34*E70</f>
        <v/>
      </c>
      <c r="F75" s="18">
        <f>F62*Inputs!$B$33*F70*3+F68*Inputs!$B$34*F70</f>
        <v/>
      </c>
      <c r="G75" s="18">
        <f>G62*Inputs!$B$33*G70*3+G68*Inputs!$B$34*G70</f>
        <v/>
      </c>
      <c r="H75" s="18">
        <f>H62*Inputs!$B$33*H70*3+H68*Inputs!$B$34*H70</f>
        <v/>
      </c>
      <c r="I75" s="18">
        <f>I62*Inputs!$B$33*I70*3+I68*Inputs!$B$34*I70</f>
        <v/>
      </c>
      <c r="J75" s="18">
        <f>J62*Inputs!$B$33*J70*3+J68*Inputs!$B$34*J70</f>
        <v/>
      </c>
      <c r="K75" s="18">
        <f>K62*Inputs!$B$33*K70*3+K68*Inputs!$B$34*K70</f>
        <v/>
      </c>
      <c r="L75" s="18">
        <f>L62*Inputs!$B$33*L70*3+L68*Inputs!$B$34*L70</f>
        <v/>
      </c>
      <c r="M75" s="18">
        <f>M62*Inputs!$B$33*M70*3+M68*Inputs!$B$34*M70</f>
        <v/>
      </c>
      <c r="N75" s="18">
        <f>N62*Inputs!$B$33*N70*3+N68*Inputs!$B$34*N70</f>
        <v/>
      </c>
      <c r="O75" s="18">
        <f>O62*Inputs!$B$33*O70*3+O68*Inputs!$B$34*O70</f>
        <v/>
      </c>
      <c r="P75" s="18">
        <f>P62*Inputs!$B$33*P70*3+P68*Inputs!$B$34*P70</f>
        <v/>
      </c>
      <c r="Q75" s="18">
        <f>Q62*Inputs!$B$33*Q70*3+Q68*Inputs!$B$34*Q70</f>
        <v/>
      </c>
      <c r="R75" s="18">
        <f>R62*Inputs!$B$33*R70*3+R68*Inputs!$B$34*R70</f>
        <v/>
      </c>
      <c r="S75" s="18">
        <f>S62*Inputs!$B$33*S70*3+S68*Inputs!$B$34*S70</f>
        <v/>
      </c>
      <c r="T75" s="18">
        <f>T62*Inputs!$B$33*T70*3+T68*Inputs!$B$34*T70</f>
        <v/>
      </c>
      <c r="U75" s="18">
        <f>U62*Inputs!$B$33*U70*3+U68*Inputs!$B$34*U70</f>
        <v/>
      </c>
      <c r="V75" s="18">
        <f>V62*Inputs!$B$33*V70*3+V68*Inputs!$B$34*V70</f>
        <v/>
      </c>
      <c r="W75" s="18">
        <f>W62*Inputs!$B$33*W70*3+W68*Inputs!$B$34*W70</f>
        <v/>
      </c>
    </row>
    <row r="76">
      <c r="A76" s="17" t="inlineStr">
        <is>
          <t>Revenue (pricing model in use)</t>
        </is>
      </c>
      <c r="B76" t="inlineStr">
        <is>
          <t>$</t>
        </is>
      </c>
      <c r="C76" s="2" t="inlineStr">
        <is>
          <t>Picks one of the four lines above</t>
        </is>
      </c>
      <c r="D76" s="28">
        <f>CHOOSE(Inputs!$B$28,D72,D73,D74,D75)</f>
        <v/>
      </c>
      <c r="E76" s="28">
        <f>CHOOSE(Inputs!$B$28,E72,E73,E74,E75)</f>
        <v/>
      </c>
      <c r="F76" s="28">
        <f>CHOOSE(Inputs!$B$28,F72,F73,F74,F75)</f>
        <v/>
      </c>
      <c r="G76" s="28">
        <f>CHOOSE(Inputs!$B$28,G72,G73,G74,G75)</f>
        <v/>
      </c>
      <c r="H76" s="28">
        <f>CHOOSE(Inputs!$B$28,H72,H73,H74,H75)</f>
        <v/>
      </c>
      <c r="I76" s="28">
        <f>CHOOSE(Inputs!$B$28,I72,I73,I74,I75)</f>
        <v/>
      </c>
      <c r="J76" s="28">
        <f>CHOOSE(Inputs!$B$28,J72,J73,J74,J75)</f>
        <v/>
      </c>
      <c r="K76" s="28">
        <f>CHOOSE(Inputs!$B$28,K72,K73,K74,K75)</f>
        <v/>
      </c>
      <c r="L76" s="28">
        <f>CHOOSE(Inputs!$B$28,L72,L73,L74,L75)</f>
        <v/>
      </c>
      <c r="M76" s="28">
        <f>CHOOSE(Inputs!$B$28,M72,M73,M74,M75)</f>
        <v/>
      </c>
      <c r="N76" s="28">
        <f>CHOOSE(Inputs!$B$28,N72,N73,N74,N75)</f>
        <v/>
      </c>
      <c r="O76" s="28">
        <f>CHOOSE(Inputs!$B$28,O72,O73,O74,O75)</f>
        <v/>
      </c>
      <c r="P76" s="28">
        <f>CHOOSE(Inputs!$B$28,P72,P73,P74,P75)</f>
        <v/>
      </c>
      <c r="Q76" s="28">
        <f>CHOOSE(Inputs!$B$28,Q72,Q73,Q74,Q75)</f>
        <v/>
      </c>
      <c r="R76" s="28">
        <f>CHOOSE(Inputs!$B$28,R72,R73,R74,R75)</f>
        <v/>
      </c>
      <c r="S76" s="28">
        <f>CHOOSE(Inputs!$B$28,S72,S73,S74,S75)</f>
        <v/>
      </c>
      <c r="T76" s="28">
        <f>CHOOSE(Inputs!$B$28,T72,T73,T74,T75)</f>
        <v/>
      </c>
      <c r="U76" s="28">
        <f>CHOOSE(Inputs!$B$28,U72,U73,U74,U75)</f>
        <v/>
      </c>
      <c r="V76" s="28">
        <f>CHOOSE(Inputs!$B$28,V72,V73,V74,V75)</f>
        <v/>
      </c>
      <c r="W76" s="28">
        <f>CHOOSE(Inputs!$B$28,W72,W73,W74,W75)</f>
        <v/>
      </c>
    </row>
    <row r="77">
      <c r="A77" s="14" t="inlineStr">
        <is>
          <t>Annual run rate (ARR)</t>
        </is>
      </c>
      <c r="B77" t="inlineStr">
        <is>
          <t>$</t>
        </is>
      </c>
      <c r="C77" s="2" t="inlineStr">
        <is>
          <t>Quarterly revenue x 4</t>
        </is>
      </c>
      <c r="D77" s="18">
        <f>D76*4</f>
        <v/>
      </c>
      <c r="E77" s="18">
        <f>E76*4</f>
        <v/>
      </c>
      <c r="F77" s="18">
        <f>F76*4</f>
        <v/>
      </c>
      <c r="G77" s="18">
        <f>G76*4</f>
        <v/>
      </c>
      <c r="H77" s="18">
        <f>H76*4</f>
        <v/>
      </c>
      <c r="I77" s="18">
        <f>I76*4</f>
        <v/>
      </c>
      <c r="J77" s="18">
        <f>J76*4</f>
        <v/>
      </c>
      <c r="K77" s="18">
        <f>K76*4</f>
        <v/>
      </c>
      <c r="L77" s="18">
        <f>L76*4</f>
        <v/>
      </c>
      <c r="M77" s="18">
        <f>M76*4</f>
        <v/>
      </c>
      <c r="N77" s="18">
        <f>N76*4</f>
        <v/>
      </c>
      <c r="O77" s="18">
        <f>O76*4</f>
        <v/>
      </c>
      <c r="P77" s="18">
        <f>P76*4</f>
        <v/>
      </c>
      <c r="Q77" s="18">
        <f>Q76*4</f>
        <v/>
      </c>
      <c r="R77" s="18">
        <f>R76*4</f>
        <v/>
      </c>
      <c r="S77" s="18">
        <f>S76*4</f>
        <v/>
      </c>
      <c r="T77" s="18">
        <f>T76*4</f>
        <v/>
      </c>
      <c r="U77" s="18">
        <f>U76*4</f>
        <v/>
      </c>
      <c r="V77" s="18">
        <f>V76*4</f>
        <v/>
      </c>
      <c r="W77" s="18">
        <f>W76*4</f>
        <v/>
      </c>
    </row>
    <row r="78">
      <c r="A78" s="4" t="inlineStr">
        <is>
          <t>Cost of revenue</t>
        </is>
      </c>
      <c r="B78" s="5" t="n"/>
      <c r="C78" s="5" t="n"/>
      <c r="D78" s="5" t="n"/>
      <c r="E78" s="5" t="n"/>
      <c r="F78" s="5" t="n"/>
      <c r="G78" s="5" t="n"/>
      <c r="H78" s="5" t="n"/>
      <c r="I78" s="5" t="n"/>
      <c r="J78" s="5" t="n"/>
      <c r="K78" s="5" t="n"/>
      <c r="L78" s="5" t="n"/>
      <c r="M78" s="5" t="n"/>
      <c r="N78" s="5" t="n"/>
      <c r="O78" s="5" t="n"/>
      <c r="P78" s="5" t="n"/>
      <c r="Q78" s="5" t="n"/>
      <c r="R78" s="5" t="n"/>
      <c r="S78" s="5" t="n"/>
      <c r="T78" s="5" t="n"/>
      <c r="U78" s="5" t="n"/>
      <c r="V78" s="5" t="n"/>
      <c r="W78" s="5" t="n"/>
    </row>
    <row r="79">
      <c r="A79" s="14" t="inlineStr">
        <is>
          <t>AI cost per conversation</t>
        </is>
      </c>
      <c r="B79" t="inlineStr">
        <is>
          <t>$</t>
        </is>
      </c>
      <c r="C79" s="2" t="inlineStr">
        <is>
          <t>Year-1 cost x (1 + yearly change) ^ (year - 1)</t>
        </is>
      </c>
      <c r="D79" s="27">
        <f>Inputs!$B$37*(1+Inputs!$B$38)^(D40-1)</f>
        <v/>
      </c>
      <c r="E79" s="27">
        <f>Inputs!$B$37*(1+Inputs!$B$38)^(E40-1)</f>
        <v/>
      </c>
      <c r="F79" s="27">
        <f>Inputs!$B$37*(1+Inputs!$B$38)^(F40-1)</f>
        <v/>
      </c>
      <c r="G79" s="27">
        <f>Inputs!$B$37*(1+Inputs!$B$38)^(G40-1)</f>
        <v/>
      </c>
      <c r="H79" s="27">
        <f>Inputs!$B$37*(1+Inputs!$B$38)^(H40-1)</f>
        <v/>
      </c>
      <c r="I79" s="27">
        <f>Inputs!$B$37*(1+Inputs!$B$38)^(I40-1)</f>
        <v/>
      </c>
      <c r="J79" s="27">
        <f>Inputs!$B$37*(1+Inputs!$B$38)^(J40-1)</f>
        <v/>
      </c>
      <c r="K79" s="27">
        <f>Inputs!$B$37*(1+Inputs!$B$38)^(K40-1)</f>
        <v/>
      </c>
      <c r="L79" s="27">
        <f>Inputs!$B$37*(1+Inputs!$B$38)^(L40-1)</f>
        <v/>
      </c>
      <c r="M79" s="27">
        <f>Inputs!$B$37*(1+Inputs!$B$38)^(M40-1)</f>
        <v/>
      </c>
      <c r="N79" s="27">
        <f>Inputs!$B$37*(1+Inputs!$B$38)^(N40-1)</f>
        <v/>
      </c>
      <c r="O79" s="27">
        <f>Inputs!$B$37*(1+Inputs!$B$38)^(O40-1)</f>
        <v/>
      </c>
      <c r="P79" s="27">
        <f>Inputs!$B$37*(1+Inputs!$B$38)^(P40-1)</f>
        <v/>
      </c>
      <c r="Q79" s="27">
        <f>Inputs!$B$37*(1+Inputs!$B$38)^(Q40-1)</f>
        <v/>
      </c>
      <c r="R79" s="27">
        <f>Inputs!$B$37*(1+Inputs!$B$38)^(R40-1)</f>
        <v/>
      </c>
      <c r="S79" s="27">
        <f>Inputs!$B$37*(1+Inputs!$B$38)^(S40-1)</f>
        <v/>
      </c>
      <c r="T79" s="27">
        <f>Inputs!$B$37*(1+Inputs!$B$38)^(T40-1)</f>
        <v/>
      </c>
      <c r="U79" s="27">
        <f>Inputs!$B$37*(1+Inputs!$B$38)^(U40-1)</f>
        <v/>
      </c>
      <c r="V79" s="27">
        <f>Inputs!$B$37*(1+Inputs!$B$38)^(V40-1)</f>
        <v/>
      </c>
      <c r="W79" s="27">
        <f>Inputs!$B$37*(1+Inputs!$B$38)^(W40-1)</f>
        <v/>
      </c>
    </row>
    <row r="80">
      <c r="A80" s="14" t="inlineStr">
        <is>
          <t>AI cost (model fees, search, tool calls)</t>
        </is>
      </c>
      <c r="B80" t="inlineStr">
        <is>
          <t>$</t>
        </is>
      </c>
      <c r="C80" s="2" t="inlineStr">
        <is>
          <t>Conversations x AI cost per conversation</t>
        </is>
      </c>
      <c r="D80" s="18">
        <f>D66*D79</f>
        <v/>
      </c>
      <c r="E80" s="18">
        <f>E66*E79</f>
        <v/>
      </c>
      <c r="F80" s="18">
        <f>F66*F79</f>
        <v/>
      </c>
      <c r="G80" s="18">
        <f>G66*G79</f>
        <v/>
      </c>
      <c r="H80" s="18">
        <f>H66*H79</f>
        <v/>
      </c>
      <c r="I80" s="18">
        <f>I66*I79</f>
        <v/>
      </c>
      <c r="J80" s="18">
        <f>J66*J79</f>
        <v/>
      </c>
      <c r="K80" s="18">
        <f>K66*K79</f>
        <v/>
      </c>
      <c r="L80" s="18">
        <f>L66*L79</f>
        <v/>
      </c>
      <c r="M80" s="18">
        <f>M66*M79</f>
        <v/>
      </c>
      <c r="N80" s="18">
        <f>N66*N79</f>
        <v/>
      </c>
      <c r="O80" s="18">
        <f>O66*O79</f>
        <v/>
      </c>
      <c r="P80" s="18">
        <f>P66*P79</f>
        <v/>
      </c>
      <c r="Q80" s="18">
        <f>Q66*Q79</f>
        <v/>
      </c>
      <c r="R80" s="18">
        <f>R66*R79</f>
        <v/>
      </c>
      <c r="S80" s="18">
        <f>S66*S79</f>
        <v/>
      </c>
      <c r="T80" s="18">
        <f>T66*T79</f>
        <v/>
      </c>
      <c r="U80" s="18">
        <f>U66*U79</f>
        <v/>
      </c>
      <c r="V80" s="18">
        <f>V66*V79</f>
        <v/>
      </c>
      <c r="W80" s="18">
        <f>W66*W79</f>
        <v/>
      </c>
    </row>
    <row r="81">
      <c r="A81" s="14" t="inlineStr">
        <is>
          <t>Hosting, monitoring and data</t>
        </is>
      </c>
      <c r="B81" t="inlineStr">
        <is>
          <t>$</t>
        </is>
      </c>
      <c r="C81" s="2" t="inlineStr">
        <is>
          <t>Average customers x monthly cost x 3</t>
        </is>
      </c>
      <c r="D81" s="18">
        <f>D62*Inputs!$B$39*3</f>
        <v/>
      </c>
      <c r="E81" s="18">
        <f>E62*Inputs!$B$39*3</f>
        <v/>
      </c>
      <c r="F81" s="18">
        <f>F62*Inputs!$B$39*3</f>
        <v/>
      </c>
      <c r="G81" s="18">
        <f>G62*Inputs!$B$39*3</f>
        <v/>
      </c>
      <c r="H81" s="18">
        <f>H62*Inputs!$B$39*3</f>
        <v/>
      </c>
      <c r="I81" s="18">
        <f>I62*Inputs!$B$39*3</f>
        <v/>
      </c>
      <c r="J81" s="18">
        <f>J62*Inputs!$B$39*3</f>
        <v/>
      </c>
      <c r="K81" s="18">
        <f>K62*Inputs!$B$39*3</f>
        <v/>
      </c>
      <c r="L81" s="18">
        <f>L62*Inputs!$B$39*3</f>
        <v/>
      </c>
      <c r="M81" s="18">
        <f>M62*Inputs!$B$39*3</f>
        <v/>
      </c>
      <c r="N81" s="18">
        <f>N62*Inputs!$B$39*3</f>
        <v/>
      </c>
      <c r="O81" s="18">
        <f>O62*Inputs!$B$39*3</f>
        <v/>
      </c>
      <c r="P81" s="18">
        <f>P62*Inputs!$B$39*3</f>
        <v/>
      </c>
      <c r="Q81" s="18">
        <f>Q62*Inputs!$B$39*3</f>
        <v/>
      </c>
      <c r="R81" s="18">
        <f>R62*Inputs!$B$39*3</f>
        <v/>
      </c>
      <c r="S81" s="18">
        <f>S62*Inputs!$B$39*3</f>
        <v/>
      </c>
      <c r="T81" s="18">
        <f>T62*Inputs!$B$39*3</f>
        <v/>
      </c>
      <c r="U81" s="18">
        <f>U62*Inputs!$B$39*3</f>
        <v/>
      </c>
      <c r="V81" s="18">
        <f>V62*Inputs!$B$39*3</f>
        <v/>
      </c>
      <c r="W81" s="18">
        <f>W62*Inputs!$B$39*3</f>
        <v/>
      </c>
    </row>
    <row r="82">
      <c r="A82" s="14" t="inlineStr">
        <is>
          <t>Onboarding and customer success team</t>
        </is>
      </c>
      <c r="B82" t="inlineStr">
        <is>
          <t>$</t>
        </is>
      </c>
      <c r="C82" s="2" t="inlineStr">
        <is>
          <t>Roles marked cost of revenue: salaries x 3 x (1 + taxes)</t>
        </is>
      </c>
      <c r="D82" s="18">
        <f>SUMPRODUCT(D$43:D$52,Inputs!$B$51:$B$60,Inputs!$C$51:$C$60)*3*(1+Inputs!$B$41)</f>
        <v/>
      </c>
      <c r="E82" s="18">
        <f>SUMPRODUCT(E$43:E$52,Inputs!$B$51:$B$60,Inputs!$C$51:$C$60)*3*(1+Inputs!$B$41)</f>
        <v/>
      </c>
      <c r="F82" s="18">
        <f>SUMPRODUCT(F$43:F$52,Inputs!$B$51:$B$60,Inputs!$C$51:$C$60)*3*(1+Inputs!$B$41)</f>
        <v/>
      </c>
      <c r="G82" s="18">
        <f>SUMPRODUCT(G$43:G$52,Inputs!$B$51:$B$60,Inputs!$C$51:$C$60)*3*(1+Inputs!$B$41)</f>
        <v/>
      </c>
      <c r="H82" s="18">
        <f>SUMPRODUCT(H$43:H$52,Inputs!$B$51:$B$60,Inputs!$C$51:$C$60)*3*(1+Inputs!$B$41)</f>
        <v/>
      </c>
      <c r="I82" s="18">
        <f>SUMPRODUCT(I$43:I$52,Inputs!$B$51:$B$60,Inputs!$C$51:$C$60)*3*(1+Inputs!$B$41)</f>
        <v/>
      </c>
      <c r="J82" s="18">
        <f>SUMPRODUCT(J$43:J$52,Inputs!$B$51:$B$60,Inputs!$C$51:$C$60)*3*(1+Inputs!$B$41)</f>
        <v/>
      </c>
      <c r="K82" s="18">
        <f>SUMPRODUCT(K$43:K$52,Inputs!$B$51:$B$60,Inputs!$C$51:$C$60)*3*(1+Inputs!$B$41)</f>
        <v/>
      </c>
      <c r="L82" s="18">
        <f>SUMPRODUCT(L$43:L$52,Inputs!$B$51:$B$60,Inputs!$C$51:$C$60)*3*(1+Inputs!$B$41)</f>
        <v/>
      </c>
      <c r="M82" s="18">
        <f>SUMPRODUCT(M$43:M$52,Inputs!$B$51:$B$60,Inputs!$C$51:$C$60)*3*(1+Inputs!$B$41)</f>
        <v/>
      </c>
      <c r="N82" s="18">
        <f>SUMPRODUCT(N$43:N$52,Inputs!$B$51:$B$60,Inputs!$C$51:$C$60)*3*(1+Inputs!$B$41)</f>
        <v/>
      </c>
      <c r="O82" s="18">
        <f>SUMPRODUCT(O$43:O$52,Inputs!$B$51:$B$60,Inputs!$C$51:$C$60)*3*(1+Inputs!$B$41)</f>
        <v/>
      </c>
      <c r="P82" s="18">
        <f>SUMPRODUCT(P$43:P$52,Inputs!$B$51:$B$60,Inputs!$C$51:$C$60)*3*(1+Inputs!$B$41)</f>
        <v/>
      </c>
      <c r="Q82" s="18">
        <f>SUMPRODUCT(Q$43:Q$52,Inputs!$B$51:$B$60,Inputs!$C$51:$C$60)*3*(1+Inputs!$B$41)</f>
        <v/>
      </c>
      <c r="R82" s="18">
        <f>SUMPRODUCT(R$43:R$52,Inputs!$B$51:$B$60,Inputs!$C$51:$C$60)*3*(1+Inputs!$B$41)</f>
        <v/>
      </c>
      <c r="S82" s="18">
        <f>SUMPRODUCT(S$43:S$52,Inputs!$B$51:$B$60,Inputs!$C$51:$C$60)*3*(1+Inputs!$B$41)</f>
        <v/>
      </c>
      <c r="T82" s="18">
        <f>SUMPRODUCT(T$43:T$52,Inputs!$B$51:$B$60,Inputs!$C$51:$C$60)*3*(1+Inputs!$B$41)</f>
        <v/>
      </c>
      <c r="U82" s="18">
        <f>SUMPRODUCT(U$43:U$52,Inputs!$B$51:$B$60,Inputs!$C$51:$C$60)*3*(1+Inputs!$B$41)</f>
        <v/>
      </c>
      <c r="V82" s="18">
        <f>SUMPRODUCT(V$43:V$52,Inputs!$B$51:$B$60,Inputs!$C$51:$C$60)*3*(1+Inputs!$B$41)</f>
        <v/>
      </c>
      <c r="W82" s="18">
        <f>SUMPRODUCT(W$43:W$52,Inputs!$B$51:$B$60,Inputs!$C$51:$C$60)*3*(1+Inputs!$B$41)</f>
        <v/>
      </c>
    </row>
    <row r="83">
      <c r="A83" s="17" t="inlineStr">
        <is>
          <t>Total cost of revenue</t>
        </is>
      </c>
      <c r="B83" t="inlineStr">
        <is>
          <t>$</t>
        </is>
      </c>
      <c r="C83" s="2" t="inlineStr">
        <is>
          <t>AI cost + hosting + onboarding team</t>
        </is>
      </c>
      <c r="D83" s="28">
        <f>D80+D81+D82</f>
        <v/>
      </c>
      <c r="E83" s="28">
        <f>E80+E81+E82</f>
        <v/>
      </c>
      <c r="F83" s="28">
        <f>F80+F81+F82</f>
        <v/>
      </c>
      <c r="G83" s="28">
        <f>G80+G81+G82</f>
        <v/>
      </c>
      <c r="H83" s="28">
        <f>H80+H81+H82</f>
        <v/>
      </c>
      <c r="I83" s="28">
        <f>I80+I81+I82</f>
        <v/>
      </c>
      <c r="J83" s="28">
        <f>J80+J81+J82</f>
        <v/>
      </c>
      <c r="K83" s="28">
        <f>K80+K81+K82</f>
        <v/>
      </c>
      <c r="L83" s="28">
        <f>L80+L81+L82</f>
        <v/>
      </c>
      <c r="M83" s="28">
        <f>M80+M81+M82</f>
        <v/>
      </c>
      <c r="N83" s="28">
        <f>N80+N81+N82</f>
        <v/>
      </c>
      <c r="O83" s="28">
        <f>O80+O81+O82</f>
        <v/>
      </c>
      <c r="P83" s="28">
        <f>P80+P81+P82</f>
        <v/>
      </c>
      <c r="Q83" s="28">
        <f>Q80+Q81+Q82</f>
        <v/>
      </c>
      <c r="R83" s="28">
        <f>R80+R81+R82</f>
        <v/>
      </c>
      <c r="S83" s="28">
        <f>S80+S81+S82</f>
        <v/>
      </c>
      <c r="T83" s="28">
        <f>T80+T81+T82</f>
        <v/>
      </c>
      <c r="U83" s="28">
        <f>U80+U81+U82</f>
        <v/>
      </c>
      <c r="V83" s="28">
        <f>V80+V81+V82</f>
        <v/>
      </c>
      <c r="W83" s="28">
        <f>W80+W81+W82</f>
        <v/>
      </c>
    </row>
    <row r="84">
      <c r="A84" s="17" t="inlineStr">
        <is>
          <t>Gross profit</t>
        </is>
      </c>
      <c r="B84" t="inlineStr">
        <is>
          <t>$</t>
        </is>
      </c>
      <c r="C84" s="2" t="inlineStr">
        <is>
          <t>Revenue - cost of revenue</t>
        </is>
      </c>
      <c r="D84" s="28">
        <f>D76-D83</f>
        <v/>
      </c>
      <c r="E84" s="28">
        <f>E76-E83</f>
        <v/>
      </c>
      <c r="F84" s="28">
        <f>F76-F83</f>
        <v/>
      </c>
      <c r="G84" s="28">
        <f>G76-G83</f>
        <v/>
      </c>
      <c r="H84" s="28">
        <f>H76-H83</f>
        <v/>
      </c>
      <c r="I84" s="28">
        <f>I76-I83</f>
        <v/>
      </c>
      <c r="J84" s="28">
        <f>J76-J83</f>
        <v/>
      </c>
      <c r="K84" s="28">
        <f>K76-K83</f>
        <v/>
      </c>
      <c r="L84" s="28">
        <f>L76-L83</f>
        <v/>
      </c>
      <c r="M84" s="28">
        <f>M76-M83</f>
        <v/>
      </c>
      <c r="N84" s="28">
        <f>N76-N83</f>
        <v/>
      </c>
      <c r="O84" s="28">
        <f>O76-O83</f>
        <v/>
      </c>
      <c r="P84" s="28">
        <f>P76-P83</f>
        <v/>
      </c>
      <c r="Q84" s="28">
        <f>Q76-Q83</f>
        <v/>
      </c>
      <c r="R84" s="28">
        <f>R76-R83</f>
        <v/>
      </c>
      <c r="S84" s="28">
        <f>S76-S83</f>
        <v/>
      </c>
      <c r="T84" s="28">
        <f>T76-T83</f>
        <v/>
      </c>
      <c r="U84" s="28">
        <f>U76-U83</f>
        <v/>
      </c>
      <c r="V84" s="28">
        <f>V76-V83</f>
        <v/>
      </c>
      <c r="W84" s="28">
        <f>W76-W83</f>
        <v/>
      </c>
    </row>
    <row r="85">
      <c r="A85" s="14" t="inlineStr">
        <is>
          <t>Gross margin</t>
        </is>
      </c>
      <c r="B85" t="inlineStr">
        <is>
          <t>%</t>
        </is>
      </c>
      <c r="C85" s="2" t="inlineStr">
        <is>
          <t>Gross profit / revenue</t>
        </is>
      </c>
      <c r="D85" s="16">
        <f>IF(D76=0,0,D84/D76)</f>
        <v/>
      </c>
      <c r="E85" s="16">
        <f>IF(E76=0,0,E84/E76)</f>
        <v/>
      </c>
      <c r="F85" s="16">
        <f>IF(F76=0,0,F84/F76)</f>
        <v/>
      </c>
      <c r="G85" s="16">
        <f>IF(G76=0,0,G84/G76)</f>
        <v/>
      </c>
      <c r="H85" s="16">
        <f>IF(H76=0,0,H84/H76)</f>
        <v/>
      </c>
      <c r="I85" s="16">
        <f>IF(I76=0,0,I84/I76)</f>
        <v/>
      </c>
      <c r="J85" s="16">
        <f>IF(J76=0,0,J84/J76)</f>
        <v/>
      </c>
      <c r="K85" s="16">
        <f>IF(K76=0,0,K84/K76)</f>
        <v/>
      </c>
      <c r="L85" s="16">
        <f>IF(L76=0,0,L84/L76)</f>
        <v/>
      </c>
      <c r="M85" s="16">
        <f>IF(M76=0,0,M84/M76)</f>
        <v/>
      </c>
      <c r="N85" s="16">
        <f>IF(N76=0,0,N84/N76)</f>
        <v/>
      </c>
      <c r="O85" s="16">
        <f>IF(O76=0,0,O84/O76)</f>
        <v/>
      </c>
      <c r="P85" s="16">
        <f>IF(P76=0,0,P84/P76)</f>
        <v/>
      </c>
      <c r="Q85" s="16">
        <f>IF(Q76=0,0,Q84/Q76)</f>
        <v/>
      </c>
      <c r="R85" s="16">
        <f>IF(R76=0,0,R84/R76)</f>
        <v/>
      </c>
      <c r="S85" s="16">
        <f>IF(S76=0,0,S84/S76)</f>
        <v/>
      </c>
      <c r="T85" s="16">
        <f>IF(T76=0,0,T84/T76)</f>
        <v/>
      </c>
      <c r="U85" s="16">
        <f>IF(U76=0,0,U84/U76)</f>
        <v/>
      </c>
      <c r="V85" s="16">
        <f>IF(V76=0,0,V84/V76)</f>
        <v/>
      </c>
      <c r="W85" s="16">
        <f>IF(W76=0,0,W84/W76)</f>
        <v/>
      </c>
    </row>
    <row r="86">
      <c r="A86" s="4" t="inlineStr">
        <is>
          <t>Operating costs</t>
        </is>
      </c>
      <c r="B86" s="5" t="n"/>
      <c r="C86" s="5" t="n"/>
      <c r="D86" s="5" t="n"/>
      <c r="E86" s="5" t="n"/>
      <c r="F86" s="5" t="n"/>
      <c r="G86" s="5" t="n"/>
      <c r="H86" s="5" t="n"/>
      <c r="I86" s="5" t="n"/>
      <c r="J86" s="5" t="n"/>
      <c r="K86" s="5" t="n"/>
      <c r="L86" s="5" t="n"/>
      <c r="M86" s="5" t="n"/>
      <c r="N86" s="5" t="n"/>
      <c r="O86" s="5" t="n"/>
      <c r="P86" s="5" t="n"/>
      <c r="Q86" s="5" t="n"/>
      <c r="R86" s="5" t="n"/>
      <c r="S86" s="5" t="n"/>
      <c r="T86" s="5" t="n"/>
      <c r="U86" s="5" t="n"/>
      <c r="V86" s="5" t="n"/>
      <c r="W86" s="5" t="n"/>
    </row>
    <row r="87">
      <c r="A87" s="14" t="inlineStr">
        <is>
          <t>Payroll, everyone else</t>
        </is>
      </c>
      <c r="B87" t="inlineStr">
        <is>
          <t>$</t>
        </is>
      </c>
      <c r="C87" s="2" t="inlineStr">
        <is>
          <t>All salaries x 3 x (1 + taxes) - onboarding team</t>
        </is>
      </c>
      <c r="D87" s="18">
        <f>SUMPRODUCT(D$43:D$52,Inputs!$B$51:$B$60)*3*(1+Inputs!$B$41)-D82</f>
        <v/>
      </c>
      <c r="E87" s="18">
        <f>SUMPRODUCT(E$43:E$52,Inputs!$B$51:$B$60)*3*(1+Inputs!$B$41)-E82</f>
        <v/>
      </c>
      <c r="F87" s="18">
        <f>SUMPRODUCT(F$43:F$52,Inputs!$B$51:$B$60)*3*(1+Inputs!$B$41)-F82</f>
        <v/>
      </c>
      <c r="G87" s="18">
        <f>SUMPRODUCT(G$43:G$52,Inputs!$B$51:$B$60)*3*(1+Inputs!$B$41)-G82</f>
        <v/>
      </c>
      <c r="H87" s="18">
        <f>SUMPRODUCT(H$43:H$52,Inputs!$B$51:$B$60)*3*(1+Inputs!$B$41)-H82</f>
        <v/>
      </c>
      <c r="I87" s="18">
        <f>SUMPRODUCT(I$43:I$52,Inputs!$B$51:$B$60)*3*(1+Inputs!$B$41)-I82</f>
        <v/>
      </c>
      <c r="J87" s="18">
        <f>SUMPRODUCT(J$43:J$52,Inputs!$B$51:$B$60)*3*(1+Inputs!$B$41)-J82</f>
        <v/>
      </c>
      <c r="K87" s="18">
        <f>SUMPRODUCT(K$43:K$52,Inputs!$B$51:$B$60)*3*(1+Inputs!$B$41)-K82</f>
        <v/>
      </c>
      <c r="L87" s="18">
        <f>SUMPRODUCT(L$43:L$52,Inputs!$B$51:$B$60)*3*(1+Inputs!$B$41)-L82</f>
        <v/>
      </c>
      <c r="M87" s="18">
        <f>SUMPRODUCT(M$43:M$52,Inputs!$B$51:$B$60)*3*(1+Inputs!$B$41)-M82</f>
        <v/>
      </c>
      <c r="N87" s="18">
        <f>SUMPRODUCT(N$43:N$52,Inputs!$B$51:$B$60)*3*(1+Inputs!$B$41)-N82</f>
        <v/>
      </c>
      <c r="O87" s="18">
        <f>SUMPRODUCT(O$43:O$52,Inputs!$B$51:$B$60)*3*(1+Inputs!$B$41)-O82</f>
        <v/>
      </c>
      <c r="P87" s="18">
        <f>SUMPRODUCT(P$43:P$52,Inputs!$B$51:$B$60)*3*(1+Inputs!$B$41)-P82</f>
        <v/>
      </c>
      <c r="Q87" s="18">
        <f>SUMPRODUCT(Q$43:Q$52,Inputs!$B$51:$B$60)*3*(1+Inputs!$B$41)-Q82</f>
        <v/>
      </c>
      <c r="R87" s="18">
        <f>SUMPRODUCT(R$43:R$52,Inputs!$B$51:$B$60)*3*(1+Inputs!$B$41)-R82</f>
        <v/>
      </c>
      <c r="S87" s="18">
        <f>SUMPRODUCT(S$43:S$52,Inputs!$B$51:$B$60)*3*(1+Inputs!$B$41)-S82</f>
        <v/>
      </c>
      <c r="T87" s="18">
        <f>SUMPRODUCT(T$43:T$52,Inputs!$B$51:$B$60)*3*(1+Inputs!$B$41)-T82</f>
        <v/>
      </c>
      <c r="U87" s="18">
        <f>SUMPRODUCT(U$43:U$52,Inputs!$B$51:$B$60)*3*(1+Inputs!$B$41)-U82</f>
        <v/>
      </c>
      <c r="V87" s="18">
        <f>SUMPRODUCT(V$43:V$52,Inputs!$B$51:$B$60)*3*(1+Inputs!$B$41)-V82</f>
        <v/>
      </c>
      <c r="W87" s="18">
        <f>SUMPRODUCT(W$43:W$52,Inputs!$B$51:$B$60)*3*(1+Inputs!$B$41)-W82</f>
        <v/>
      </c>
    </row>
    <row r="88">
      <c r="A88" s="14" t="inlineStr">
        <is>
          <t>Marketing</t>
        </is>
      </c>
      <c r="B88" t="inlineStr">
        <is>
          <t>$</t>
        </is>
      </c>
      <c r="C88" s="2" t="inlineStr">
        <is>
          <t>New customers x marketing per new customer</t>
        </is>
      </c>
      <c r="D88" s="18">
        <f>D59*Inputs!$B$42</f>
        <v/>
      </c>
      <c r="E88" s="18">
        <f>E59*Inputs!$B$42</f>
        <v/>
      </c>
      <c r="F88" s="18">
        <f>F59*Inputs!$B$42</f>
        <v/>
      </c>
      <c r="G88" s="18">
        <f>G59*Inputs!$B$42</f>
        <v/>
      </c>
      <c r="H88" s="18">
        <f>H59*Inputs!$B$42</f>
        <v/>
      </c>
      <c r="I88" s="18">
        <f>I59*Inputs!$B$42</f>
        <v/>
      </c>
      <c r="J88" s="18">
        <f>J59*Inputs!$B$42</f>
        <v/>
      </c>
      <c r="K88" s="18">
        <f>K59*Inputs!$B$42</f>
        <v/>
      </c>
      <c r="L88" s="18">
        <f>L59*Inputs!$B$42</f>
        <v/>
      </c>
      <c r="M88" s="18">
        <f>M59*Inputs!$B$42</f>
        <v/>
      </c>
      <c r="N88" s="18">
        <f>N59*Inputs!$B$42</f>
        <v/>
      </c>
      <c r="O88" s="18">
        <f>O59*Inputs!$B$42</f>
        <v/>
      </c>
      <c r="P88" s="18">
        <f>P59*Inputs!$B$42</f>
        <v/>
      </c>
      <c r="Q88" s="18">
        <f>Q59*Inputs!$B$42</f>
        <v/>
      </c>
      <c r="R88" s="18">
        <f>R59*Inputs!$B$42</f>
        <v/>
      </c>
      <c r="S88" s="18">
        <f>S59*Inputs!$B$42</f>
        <v/>
      </c>
      <c r="T88" s="18">
        <f>T59*Inputs!$B$42</f>
        <v/>
      </c>
      <c r="U88" s="18">
        <f>U59*Inputs!$B$42</f>
        <v/>
      </c>
      <c r="V88" s="18">
        <f>V59*Inputs!$B$42</f>
        <v/>
      </c>
      <c r="W88" s="18">
        <f>W59*Inputs!$B$42</f>
        <v/>
      </c>
    </row>
    <row r="89">
      <c r="A89" s="14" t="inlineStr">
        <is>
          <t>R&amp;D compute</t>
        </is>
      </c>
      <c r="B89" t="inlineStr">
        <is>
          <t>$</t>
        </is>
      </c>
      <c r="C89" s="2" t="inlineStr">
        <is>
          <t>Engineers x monthly compute x 3</t>
        </is>
      </c>
      <c r="D89" s="18">
        <f>D55*Inputs!$B$43*3</f>
        <v/>
      </c>
      <c r="E89" s="18">
        <f>E55*Inputs!$B$43*3</f>
        <v/>
      </c>
      <c r="F89" s="18">
        <f>F55*Inputs!$B$43*3</f>
        <v/>
      </c>
      <c r="G89" s="18">
        <f>G55*Inputs!$B$43*3</f>
        <v/>
      </c>
      <c r="H89" s="18">
        <f>H55*Inputs!$B$43*3</f>
        <v/>
      </c>
      <c r="I89" s="18">
        <f>I55*Inputs!$B$43*3</f>
        <v/>
      </c>
      <c r="J89" s="18">
        <f>J55*Inputs!$B$43*3</f>
        <v/>
      </c>
      <c r="K89" s="18">
        <f>K55*Inputs!$B$43*3</f>
        <v/>
      </c>
      <c r="L89" s="18">
        <f>L55*Inputs!$B$43*3</f>
        <v/>
      </c>
      <c r="M89" s="18">
        <f>M55*Inputs!$B$43*3</f>
        <v/>
      </c>
      <c r="N89" s="18">
        <f>N55*Inputs!$B$43*3</f>
        <v/>
      </c>
      <c r="O89" s="18">
        <f>O55*Inputs!$B$43*3</f>
        <v/>
      </c>
      <c r="P89" s="18">
        <f>P55*Inputs!$B$43*3</f>
        <v/>
      </c>
      <c r="Q89" s="18">
        <f>Q55*Inputs!$B$43*3</f>
        <v/>
      </c>
      <c r="R89" s="18">
        <f>R55*Inputs!$B$43*3</f>
        <v/>
      </c>
      <c r="S89" s="18">
        <f>S55*Inputs!$B$43*3</f>
        <v/>
      </c>
      <c r="T89" s="18">
        <f>T55*Inputs!$B$43*3</f>
        <v/>
      </c>
      <c r="U89" s="18">
        <f>U55*Inputs!$B$43*3</f>
        <v/>
      </c>
      <c r="V89" s="18">
        <f>V55*Inputs!$B$43*3</f>
        <v/>
      </c>
      <c r="W89" s="18">
        <f>W55*Inputs!$B$43*3</f>
        <v/>
      </c>
    </row>
    <row r="90">
      <c r="A90" s="14" t="inlineStr">
        <is>
          <t>Software, travel and overheads</t>
        </is>
      </c>
      <c r="B90" t="inlineStr">
        <is>
          <t>$</t>
        </is>
      </c>
      <c r="C90" s="2" t="inlineStr">
        <is>
          <t>Team x cost per person x 3 + fixed overheads x 3</t>
        </is>
      </c>
      <c r="D90" s="18">
        <f>D53*Inputs!$B$44*3+Inputs!$B$45*3</f>
        <v/>
      </c>
      <c r="E90" s="18">
        <f>E53*Inputs!$B$44*3+Inputs!$B$45*3</f>
        <v/>
      </c>
      <c r="F90" s="18">
        <f>F53*Inputs!$B$44*3+Inputs!$B$45*3</f>
        <v/>
      </c>
      <c r="G90" s="18">
        <f>G53*Inputs!$B$44*3+Inputs!$B$45*3</f>
        <v/>
      </c>
      <c r="H90" s="18">
        <f>H53*Inputs!$B$44*3+Inputs!$B$45*3</f>
        <v/>
      </c>
      <c r="I90" s="18">
        <f>I53*Inputs!$B$44*3+Inputs!$B$45*3</f>
        <v/>
      </c>
      <c r="J90" s="18">
        <f>J53*Inputs!$B$44*3+Inputs!$B$45*3</f>
        <v/>
      </c>
      <c r="K90" s="18">
        <f>K53*Inputs!$B$44*3+Inputs!$B$45*3</f>
        <v/>
      </c>
      <c r="L90" s="18">
        <f>L53*Inputs!$B$44*3+Inputs!$B$45*3</f>
        <v/>
      </c>
      <c r="M90" s="18">
        <f>M53*Inputs!$B$44*3+Inputs!$B$45*3</f>
        <v/>
      </c>
      <c r="N90" s="18">
        <f>N53*Inputs!$B$44*3+Inputs!$B$45*3</f>
        <v/>
      </c>
      <c r="O90" s="18">
        <f>O53*Inputs!$B$44*3+Inputs!$B$45*3</f>
        <v/>
      </c>
      <c r="P90" s="18">
        <f>P53*Inputs!$B$44*3+Inputs!$B$45*3</f>
        <v/>
      </c>
      <c r="Q90" s="18">
        <f>Q53*Inputs!$B$44*3+Inputs!$B$45*3</f>
        <v/>
      </c>
      <c r="R90" s="18">
        <f>R53*Inputs!$B$44*3+Inputs!$B$45*3</f>
        <v/>
      </c>
      <c r="S90" s="18">
        <f>S53*Inputs!$B$44*3+Inputs!$B$45*3</f>
        <v/>
      </c>
      <c r="T90" s="18">
        <f>T53*Inputs!$B$44*3+Inputs!$B$45*3</f>
        <v/>
      </c>
      <c r="U90" s="18">
        <f>U53*Inputs!$B$44*3+Inputs!$B$45*3</f>
        <v/>
      </c>
      <c r="V90" s="18">
        <f>V53*Inputs!$B$44*3+Inputs!$B$45*3</f>
        <v/>
      </c>
      <c r="W90" s="18">
        <f>W53*Inputs!$B$44*3+Inputs!$B$45*3</f>
        <v/>
      </c>
    </row>
    <row r="91">
      <c r="A91" s="17" t="inlineStr">
        <is>
          <t>Total operating costs</t>
        </is>
      </c>
      <c r="B91" t="inlineStr">
        <is>
          <t>$</t>
        </is>
      </c>
      <c r="C91" s="2" t="inlineStr">
        <is>
          <t>Sum of the four lines above</t>
        </is>
      </c>
      <c r="D91" s="28">
        <f>D87+D88+D89+D90</f>
        <v/>
      </c>
      <c r="E91" s="28">
        <f>E87+E88+E89+E90</f>
        <v/>
      </c>
      <c r="F91" s="28">
        <f>F87+F88+F89+F90</f>
        <v/>
      </c>
      <c r="G91" s="28">
        <f>G87+G88+G89+G90</f>
        <v/>
      </c>
      <c r="H91" s="28">
        <f>H87+H88+H89+H90</f>
        <v/>
      </c>
      <c r="I91" s="28">
        <f>I87+I88+I89+I90</f>
        <v/>
      </c>
      <c r="J91" s="28">
        <f>J87+J88+J89+J90</f>
        <v/>
      </c>
      <c r="K91" s="28">
        <f>K87+K88+K89+K90</f>
        <v/>
      </c>
      <c r="L91" s="28">
        <f>L87+L88+L89+L90</f>
        <v/>
      </c>
      <c r="M91" s="28">
        <f>M87+M88+M89+M90</f>
        <v/>
      </c>
      <c r="N91" s="28">
        <f>N87+N88+N89+N90</f>
        <v/>
      </c>
      <c r="O91" s="28">
        <f>O87+O88+O89+O90</f>
        <v/>
      </c>
      <c r="P91" s="28">
        <f>P87+P88+P89+P90</f>
        <v/>
      </c>
      <c r="Q91" s="28">
        <f>Q87+Q88+Q89+Q90</f>
        <v/>
      </c>
      <c r="R91" s="28">
        <f>R87+R88+R89+R90</f>
        <v/>
      </c>
      <c r="S91" s="28">
        <f>S87+S88+S89+S90</f>
        <v/>
      </c>
      <c r="T91" s="28">
        <f>T87+T88+T89+T90</f>
        <v/>
      </c>
      <c r="U91" s="28">
        <f>U87+U88+U89+U90</f>
        <v/>
      </c>
      <c r="V91" s="28">
        <f>V87+V88+V89+V90</f>
        <v/>
      </c>
      <c r="W91" s="28">
        <f>W87+W88+W89+W90</f>
        <v/>
      </c>
    </row>
    <row r="92">
      <c r="A92" s="17" t="inlineStr">
        <is>
          <t>EBITDA</t>
        </is>
      </c>
      <c r="B92" t="inlineStr">
        <is>
          <t>$</t>
        </is>
      </c>
      <c r="C92" s="2" t="inlineStr">
        <is>
          <t>Gross profit - operating costs</t>
        </is>
      </c>
      <c r="D92" s="28">
        <f>D84-D91</f>
        <v/>
      </c>
      <c r="E92" s="28">
        <f>E84-E91</f>
        <v/>
      </c>
      <c r="F92" s="28">
        <f>F84-F91</f>
        <v/>
      </c>
      <c r="G92" s="28">
        <f>G84-G91</f>
        <v/>
      </c>
      <c r="H92" s="28">
        <f>H84-H91</f>
        <v/>
      </c>
      <c r="I92" s="28">
        <f>I84-I91</f>
        <v/>
      </c>
      <c r="J92" s="28">
        <f>J84-J91</f>
        <v/>
      </c>
      <c r="K92" s="28">
        <f>K84-K91</f>
        <v/>
      </c>
      <c r="L92" s="28">
        <f>L84-L91</f>
        <v/>
      </c>
      <c r="M92" s="28">
        <f>M84-M91</f>
        <v/>
      </c>
      <c r="N92" s="28">
        <f>N84-N91</f>
        <v/>
      </c>
      <c r="O92" s="28">
        <f>O84-O91</f>
        <v/>
      </c>
      <c r="P92" s="28">
        <f>P84-P91</f>
        <v/>
      </c>
      <c r="Q92" s="28">
        <f>Q84-Q91</f>
        <v/>
      </c>
      <c r="R92" s="28">
        <f>R84-R91</f>
        <v/>
      </c>
      <c r="S92" s="28">
        <f>S84-S91</f>
        <v/>
      </c>
      <c r="T92" s="28">
        <f>T84-T91</f>
        <v/>
      </c>
      <c r="U92" s="28">
        <f>U84-U91</f>
        <v/>
      </c>
      <c r="V92" s="28">
        <f>V84-V91</f>
        <v/>
      </c>
      <c r="W92" s="28">
        <f>W84-W91</f>
        <v/>
      </c>
    </row>
    <row r="93">
      <c r="A93" s="14" t="inlineStr">
        <is>
          <t>EBITDA margin</t>
        </is>
      </c>
      <c r="B93" t="inlineStr">
        <is>
          <t>%</t>
        </is>
      </c>
      <c r="C93" s="2" t="inlineStr">
        <is>
          <t>EBITDA / revenue</t>
        </is>
      </c>
      <c r="D93" s="16">
        <f>IF(D76=0,0,D92/D76)</f>
        <v/>
      </c>
      <c r="E93" s="16">
        <f>IF(E76=0,0,E92/E76)</f>
        <v/>
      </c>
      <c r="F93" s="16">
        <f>IF(F76=0,0,F92/F76)</f>
        <v/>
      </c>
      <c r="G93" s="16">
        <f>IF(G76=0,0,G92/G76)</f>
        <v/>
      </c>
      <c r="H93" s="16">
        <f>IF(H76=0,0,H92/H76)</f>
        <v/>
      </c>
      <c r="I93" s="16">
        <f>IF(I76=0,0,I92/I76)</f>
        <v/>
      </c>
      <c r="J93" s="16">
        <f>IF(J76=0,0,J92/J76)</f>
        <v/>
      </c>
      <c r="K93" s="16">
        <f>IF(K76=0,0,K92/K76)</f>
        <v/>
      </c>
      <c r="L93" s="16">
        <f>IF(L76=0,0,L92/L76)</f>
        <v/>
      </c>
      <c r="M93" s="16">
        <f>IF(M76=0,0,M92/M76)</f>
        <v/>
      </c>
      <c r="N93" s="16">
        <f>IF(N76=0,0,N92/N76)</f>
        <v/>
      </c>
      <c r="O93" s="16">
        <f>IF(O76=0,0,O92/O76)</f>
        <v/>
      </c>
      <c r="P93" s="16">
        <f>IF(P76=0,0,P92/P76)</f>
        <v/>
      </c>
      <c r="Q93" s="16">
        <f>IF(Q76=0,0,Q92/Q76)</f>
        <v/>
      </c>
      <c r="R93" s="16">
        <f>IF(R76=0,0,R92/R76)</f>
        <v/>
      </c>
      <c r="S93" s="16">
        <f>IF(S76=0,0,S92/S76)</f>
        <v/>
      </c>
      <c r="T93" s="16">
        <f>IF(T76=0,0,T92/T76)</f>
        <v/>
      </c>
      <c r="U93" s="16">
        <f>IF(U76=0,0,U92/U76)</f>
        <v/>
      </c>
      <c r="V93" s="16">
        <f>IF(V76=0,0,V92/V76)</f>
        <v/>
      </c>
      <c r="W93" s="16">
        <f>IF(W76=0,0,W92/W76)</f>
        <v/>
      </c>
    </row>
    <row r="94">
      <c r="A94" s="4" t="inlineStr">
        <is>
          <t>Cash</t>
        </is>
      </c>
      <c r="B94" s="5" t="n"/>
      <c r="C94" s="5" t="n"/>
      <c r="D94" s="5" t="n"/>
      <c r="E94" s="5" t="n"/>
      <c r="F94" s="5" t="n"/>
      <c r="G94" s="5" t="n"/>
      <c r="H94" s="5" t="n"/>
      <c r="I94" s="5" t="n"/>
      <c r="J94" s="5" t="n"/>
      <c r="K94" s="5" t="n"/>
      <c r="L94" s="5" t="n"/>
      <c r="M94" s="5" t="n"/>
      <c r="N94" s="5" t="n"/>
      <c r="O94" s="5" t="n"/>
      <c r="P94" s="5" t="n"/>
      <c r="Q94" s="5" t="n"/>
      <c r="R94" s="5" t="n"/>
      <c r="S94" s="5" t="n"/>
      <c r="T94" s="5" t="n"/>
      <c r="U94" s="5" t="n"/>
      <c r="V94" s="5" t="n"/>
      <c r="W94" s="5" t="n"/>
    </row>
    <row r="95">
      <c r="A95" s="14" t="inlineStr">
        <is>
          <t>Cash in from customers</t>
        </is>
      </c>
      <c r="B95" t="inlineStr">
        <is>
          <t>$</t>
        </is>
      </c>
      <c r="C95" s="2" t="inlineStr">
        <is>
          <t>This quarter's revenue paid on time + last quarter's late part</t>
        </is>
      </c>
      <c r="D95" s="18">
        <f>D76*(1-MIN(1,Inputs!$B$47/90))+Inputs!$B$10</f>
        <v/>
      </c>
      <c r="E95" s="18">
        <f>E76*(1-MIN(1,Inputs!$B$47/90))+D76*MIN(1,Inputs!$B$47/90)</f>
        <v/>
      </c>
      <c r="F95" s="18">
        <f>F76*(1-MIN(1,Inputs!$B$47/90))+E76*MIN(1,Inputs!$B$47/90)</f>
        <v/>
      </c>
      <c r="G95" s="18">
        <f>G76*(1-MIN(1,Inputs!$B$47/90))+F76*MIN(1,Inputs!$B$47/90)</f>
        <v/>
      </c>
      <c r="H95" s="18">
        <f>H76*(1-MIN(1,Inputs!$B$47/90))+G76*MIN(1,Inputs!$B$47/90)</f>
        <v/>
      </c>
      <c r="I95" s="18">
        <f>I76*(1-MIN(1,Inputs!$B$47/90))+H76*MIN(1,Inputs!$B$47/90)</f>
        <v/>
      </c>
      <c r="J95" s="18">
        <f>J76*(1-MIN(1,Inputs!$B$47/90))+I76*MIN(1,Inputs!$B$47/90)</f>
        <v/>
      </c>
      <c r="K95" s="18">
        <f>K76*(1-MIN(1,Inputs!$B$47/90))+J76*MIN(1,Inputs!$B$47/90)</f>
        <v/>
      </c>
      <c r="L95" s="18">
        <f>L76*(1-MIN(1,Inputs!$B$47/90))+K76*MIN(1,Inputs!$B$47/90)</f>
        <v/>
      </c>
      <c r="M95" s="18">
        <f>M76*(1-MIN(1,Inputs!$B$47/90))+L76*MIN(1,Inputs!$B$47/90)</f>
        <v/>
      </c>
      <c r="N95" s="18">
        <f>N76*(1-MIN(1,Inputs!$B$47/90))+M76*MIN(1,Inputs!$B$47/90)</f>
        <v/>
      </c>
      <c r="O95" s="18">
        <f>O76*(1-MIN(1,Inputs!$B$47/90))+N76*MIN(1,Inputs!$B$47/90)</f>
        <v/>
      </c>
      <c r="P95" s="18">
        <f>P76*(1-MIN(1,Inputs!$B$47/90))+O76*MIN(1,Inputs!$B$47/90)</f>
        <v/>
      </c>
      <c r="Q95" s="18">
        <f>Q76*(1-MIN(1,Inputs!$B$47/90))+P76*MIN(1,Inputs!$B$47/90)</f>
        <v/>
      </c>
      <c r="R95" s="18">
        <f>R76*(1-MIN(1,Inputs!$B$47/90))+Q76*MIN(1,Inputs!$B$47/90)</f>
        <v/>
      </c>
      <c r="S95" s="18">
        <f>S76*(1-MIN(1,Inputs!$B$47/90))+R76*MIN(1,Inputs!$B$47/90)</f>
        <v/>
      </c>
      <c r="T95" s="18">
        <f>T76*(1-MIN(1,Inputs!$B$47/90))+S76*MIN(1,Inputs!$B$47/90)</f>
        <v/>
      </c>
      <c r="U95" s="18">
        <f>U76*(1-MIN(1,Inputs!$B$47/90))+T76*MIN(1,Inputs!$B$47/90)</f>
        <v/>
      </c>
      <c r="V95" s="18">
        <f>V76*(1-MIN(1,Inputs!$B$47/90))+U76*MIN(1,Inputs!$B$47/90)</f>
        <v/>
      </c>
      <c r="W95" s="18">
        <f>W76*(1-MIN(1,Inputs!$B$47/90))+V76*MIN(1,Inputs!$B$47/90)</f>
        <v/>
      </c>
    </row>
    <row r="96">
      <c r="A96" s="14" t="inlineStr">
        <is>
          <t>Cash out for costs</t>
        </is>
      </c>
      <c r="B96" t="inlineStr">
        <is>
          <t>$</t>
        </is>
      </c>
      <c r="C96" s="2" t="inlineStr">
        <is>
          <t>Cost of revenue + operating costs</t>
        </is>
      </c>
      <c r="D96" s="18">
        <f>D83+D91</f>
        <v/>
      </c>
      <c r="E96" s="18">
        <f>E83+E91</f>
        <v/>
      </c>
      <c r="F96" s="18">
        <f>F83+F91</f>
        <v/>
      </c>
      <c r="G96" s="18">
        <f>G83+G91</f>
        <v/>
      </c>
      <c r="H96" s="18">
        <f>H83+H91</f>
        <v/>
      </c>
      <c r="I96" s="18">
        <f>I83+I91</f>
        <v/>
      </c>
      <c r="J96" s="18">
        <f>J83+J91</f>
        <v/>
      </c>
      <c r="K96" s="18">
        <f>K83+K91</f>
        <v/>
      </c>
      <c r="L96" s="18">
        <f>L83+L91</f>
        <v/>
      </c>
      <c r="M96" s="18">
        <f>M83+M91</f>
        <v/>
      </c>
      <c r="N96" s="18">
        <f>N83+N91</f>
        <v/>
      </c>
      <c r="O96" s="18">
        <f>O83+O91</f>
        <v/>
      </c>
      <c r="P96" s="18">
        <f>P83+P91</f>
        <v/>
      </c>
      <c r="Q96" s="18">
        <f>Q83+Q91</f>
        <v/>
      </c>
      <c r="R96" s="18">
        <f>R83+R91</f>
        <v/>
      </c>
      <c r="S96" s="18">
        <f>S83+S91</f>
        <v/>
      </c>
      <c r="T96" s="18">
        <f>T83+T91</f>
        <v/>
      </c>
      <c r="U96" s="18">
        <f>U83+U91</f>
        <v/>
      </c>
      <c r="V96" s="18">
        <f>V83+V91</f>
        <v/>
      </c>
      <c r="W96" s="18">
        <f>W83+W91</f>
        <v/>
      </c>
    </row>
    <row r="97">
      <c r="A97" s="14" t="inlineStr">
        <is>
          <t>Operating cash flow</t>
        </is>
      </c>
      <c r="B97" t="inlineStr">
        <is>
          <t>$</t>
        </is>
      </c>
      <c r="C97" s="2" t="inlineStr">
        <is>
          <t>Cash in - cash out</t>
        </is>
      </c>
      <c r="D97" s="18">
        <f>D95-D96</f>
        <v/>
      </c>
      <c r="E97" s="18">
        <f>E95-E96</f>
        <v/>
      </c>
      <c r="F97" s="18">
        <f>F95-F96</f>
        <v/>
      </c>
      <c r="G97" s="18">
        <f>G95-G96</f>
        <v/>
      </c>
      <c r="H97" s="18">
        <f>H95-H96</f>
        <v/>
      </c>
      <c r="I97" s="18">
        <f>I95-I96</f>
        <v/>
      </c>
      <c r="J97" s="18">
        <f>J95-J96</f>
        <v/>
      </c>
      <c r="K97" s="18">
        <f>K95-K96</f>
        <v/>
      </c>
      <c r="L97" s="18">
        <f>L95-L96</f>
        <v/>
      </c>
      <c r="M97" s="18">
        <f>M95-M96</f>
        <v/>
      </c>
      <c r="N97" s="18">
        <f>N95-N96</f>
        <v/>
      </c>
      <c r="O97" s="18">
        <f>O95-O96</f>
        <v/>
      </c>
      <c r="P97" s="18">
        <f>P95-P96</f>
        <v/>
      </c>
      <c r="Q97" s="18">
        <f>Q95-Q96</f>
        <v/>
      </c>
      <c r="R97" s="18">
        <f>R95-R96</f>
        <v/>
      </c>
      <c r="S97" s="18">
        <f>S95-S96</f>
        <v/>
      </c>
      <c r="T97" s="18">
        <f>T95-T96</f>
        <v/>
      </c>
      <c r="U97" s="18">
        <f>U95-U96</f>
        <v/>
      </c>
      <c r="V97" s="18">
        <f>V95-V96</f>
        <v/>
      </c>
      <c r="W97" s="18">
        <f>W95-W96</f>
        <v/>
      </c>
    </row>
    <row r="98">
      <c r="A98" s="14" t="inlineStr">
        <is>
          <t>Cumulative operating cash flow</t>
        </is>
      </c>
      <c r="B98" t="inlineStr">
        <is>
          <t>$</t>
        </is>
      </c>
      <c r="C98" s="2" t="inlineStr">
        <is>
          <t>Running total; its lowest point is the cash burned</t>
        </is>
      </c>
      <c r="D98" s="18">
        <f>D97</f>
        <v/>
      </c>
      <c r="E98" s="18">
        <f>D98+E97</f>
        <v/>
      </c>
      <c r="F98" s="18">
        <f>E98+F97</f>
        <v/>
      </c>
      <c r="G98" s="18">
        <f>F98+G97</f>
        <v/>
      </c>
      <c r="H98" s="18">
        <f>G98+H97</f>
        <v/>
      </c>
      <c r="I98" s="18">
        <f>H98+I97</f>
        <v/>
      </c>
      <c r="J98" s="18">
        <f>I98+J97</f>
        <v/>
      </c>
      <c r="K98" s="18">
        <f>J98+K97</f>
        <v/>
      </c>
      <c r="L98" s="18">
        <f>K98+L97</f>
        <v/>
      </c>
      <c r="M98" s="18">
        <f>L98+M97</f>
        <v/>
      </c>
      <c r="N98" s="18">
        <f>M98+N97</f>
        <v/>
      </c>
      <c r="O98" s="18">
        <f>N98+O97</f>
        <v/>
      </c>
      <c r="P98" s="18">
        <f>O98+P97</f>
        <v/>
      </c>
      <c r="Q98" s="18">
        <f>P98+Q97</f>
        <v/>
      </c>
      <c r="R98" s="18">
        <f>Q98+R97</f>
        <v/>
      </c>
      <c r="S98" s="18">
        <f>R98+S97</f>
        <v/>
      </c>
      <c r="T98" s="18">
        <f>S98+T97</f>
        <v/>
      </c>
      <c r="U98" s="18">
        <f>T98+U97</f>
        <v/>
      </c>
      <c r="V98" s="18">
        <f>U98+V97</f>
        <v/>
      </c>
      <c r="W98" s="18">
        <f>V98+W97</f>
        <v/>
      </c>
    </row>
    <row r="99">
      <c r="A99" s="14" t="inlineStr">
        <is>
          <t>Equity raised</t>
        </is>
      </c>
      <c r="B99" t="inlineStr">
        <is>
          <t>$</t>
        </is>
      </c>
      <c r="C99" s="2" t="inlineStr">
        <is>
          <t>The rounds, in the quarter they close</t>
        </is>
      </c>
      <c r="D99" s="18">
        <f>IF(D39=Inputs!$B$12,Inputs!$B$11,0)+IF(D39=Inputs!$B$14,Inputs!$B$13,0)</f>
        <v/>
      </c>
      <c r="E99" s="18">
        <f>IF(E39=Inputs!$B$12,Inputs!$B$11,0)+IF(E39=Inputs!$B$14,Inputs!$B$13,0)</f>
        <v/>
      </c>
      <c r="F99" s="18">
        <f>IF(F39=Inputs!$B$12,Inputs!$B$11,0)+IF(F39=Inputs!$B$14,Inputs!$B$13,0)</f>
        <v/>
      </c>
      <c r="G99" s="18">
        <f>IF(G39=Inputs!$B$12,Inputs!$B$11,0)+IF(G39=Inputs!$B$14,Inputs!$B$13,0)</f>
        <v/>
      </c>
      <c r="H99" s="18">
        <f>IF(H39=Inputs!$B$12,Inputs!$B$11,0)+IF(H39=Inputs!$B$14,Inputs!$B$13,0)</f>
        <v/>
      </c>
      <c r="I99" s="18">
        <f>IF(I39=Inputs!$B$12,Inputs!$B$11,0)+IF(I39=Inputs!$B$14,Inputs!$B$13,0)</f>
        <v/>
      </c>
      <c r="J99" s="18">
        <f>IF(J39=Inputs!$B$12,Inputs!$B$11,0)+IF(J39=Inputs!$B$14,Inputs!$B$13,0)</f>
        <v/>
      </c>
      <c r="K99" s="18">
        <f>IF(K39=Inputs!$B$12,Inputs!$B$11,0)+IF(K39=Inputs!$B$14,Inputs!$B$13,0)</f>
        <v/>
      </c>
      <c r="L99" s="18">
        <f>IF(L39=Inputs!$B$12,Inputs!$B$11,0)+IF(L39=Inputs!$B$14,Inputs!$B$13,0)</f>
        <v/>
      </c>
      <c r="M99" s="18">
        <f>IF(M39=Inputs!$B$12,Inputs!$B$11,0)+IF(M39=Inputs!$B$14,Inputs!$B$13,0)</f>
        <v/>
      </c>
      <c r="N99" s="18">
        <f>IF(N39=Inputs!$B$12,Inputs!$B$11,0)+IF(N39=Inputs!$B$14,Inputs!$B$13,0)</f>
        <v/>
      </c>
      <c r="O99" s="18">
        <f>IF(O39=Inputs!$B$12,Inputs!$B$11,0)+IF(O39=Inputs!$B$14,Inputs!$B$13,0)</f>
        <v/>
      </c>
      <c r="P99" s="18">
        <f>IF(P39=Inputs!$B$12,Inputs!$B$11,0)+IF(P39=Inputs!$B$14,Inputs!$B$13,0)</f>
        <v/>
      </c>
      <c r="Q99" s="18">
        <f>IF(Q39=Inputs!$B$12,Inputs!$B$11,0)+IF(Q39=Inputs!$B$14,Inputs!$B$13,0)</f>
        <v/>
      </c>
      <c r="R99" s="18">
        <f>IF(R39=Inputs!$B$12,Inputs!$B$11,0)+IF(R39=Inputs!$B$14,Inputs!$B$13,0)</f>
        <v/>
      </c>
      <c r="S99" s="18">
        <f>IF(S39=Inputs!$B$12,Inputs!$B$11,0)+IF(S39=Inputs!$B$14,Inputs!$B$13,0)</f>
        <v/>
      </c>
      <c r="T99" s="18">
        <f>IF(T39=Inputs!$B$12,Inputs!$B$11,0)+IF(T39=Inputs!$B$14,Inputs!$B$13,0)</f>
        <v/>
      </c>
      <c r="U99" s="18">
        <f>IF(U39=Inputs!$B$12,Inputs!$B$11,0)+IF(U39=Inputs!$B$14,Inputs!$B$13,0)</f>
        <v/>
      </c>
      <c r="V99" s="18">
        <f>IF(V39=Inputs!$B$12,Inputs!$B$11,0)+IF(V39=Inputs!$B$14,Inputs!$B$13,0)</f>
        <v/>
      </c>
      <c r="W99" s="18">
        <f>IF(W39=Inputs!$B$12,Inputs!$B$11,0)+IF(W39=Inputs!$B$14,Inputs!$B$13,0)</f>
        <v/>
      </c>
    </row>
    <row r="100">
      <c r="A100" s="14" t="inlineStr">
        <is>
          <t>Cash at the start</t>
        </is>
      </c>
      <c r="B100" t="inlineStr">
        <is>
          <t>$</t>
        </is>
      </c>
      <c r="C100" s="2" t="inlineStr">
        <is>
          <t>Last quarter's closing cash</t>
        </is>
      </c>
      <c r="D100" s="18">
        <f>Inputs!$B$9</f>
        <v/>
      </c>
      <c r="E100" s="18">
        <f>D101</f>
        <v/>
      </c>
      <c r="F100" s="18">
        <f>E101</f>
        <v/>
      </c>
      <c r="G100" s="18">
        <f>F101</f>
        <v/>
      </c>
      <c r="H100" s="18">
        <f>G101</f>
        <v/>
      </c>
      <c r="I100" s="18">
        <f>H101</f>
        <v/>
      </c>
      <c r="J100" s="18">
        <f>I101</f>
        <v/>
      </c>
      <c r="K100" s="18">
        <f>J101</f>
        <v/>
      </c>
      <c r="L100" s="18">
        <f>K101</f>
        <v/>
      </c>
      <c r="M100" s="18">
        <f>L101</f>
        <v/>
      </c>
      <c r="N100" s="18">
        <f>M101</f>
        <v/>
      </c>
      <c r="O100" s="18">
        <f>N101</f>
        <v/>
      </c>
      <c r="P100" s="18">
        <f>O101</f>
        <v/>
      </c>
      <c r="Q100" s="18">
        <f>P101</f>
        <v/>
      </c>
      <c r="R100" s="18">
        <f>Q101</f>
        <v/>
      </c>
      <c r="S100" s="18">
        <f>R101</f>
        <v/>
      </c>
      <c r="T100" s="18">
        <f>S101</f>
        <v/>
      </c>
      <c r="U100" s="18">
        <f>T101</f>
        <v/>
      </c>
      <c r="V100" s="18">
        <f>U101</f>
        <v/>
      </c>
      <c r="W100" s="18">
        <f>V101</f>
        <v/>
      </c>
    </row>
    <row r="101">
      <c r="A101" s="17" t="inlineStr">
        <is>
          <t>Cash at the end</t>
        </is>
      </c>
      <c r="B101" t="inlineStr">
        <is>
          <t>$</t>
        </is>
      </c>
      <c r="C101" s="2" t="inlineStr">
        <is>
          <t>Start + operating cash flow + equity</t>
        </is>
      </c>
      <c r="D101" s="28">
        <f>D100+D97+D99</f>
        <v/>
      </c>
      <c r="E101" s="28">
        <f>E100+E97+E99</f>
        <v/>
      </c>
      <c r="F101" s="28">
        <f>F100+F97+F99</f>
        <v/>
      </c>
      <c r="G101" s="28">
        <f>G100+G97+G99</f>
        <v/>
      </c>
      <c r="H101" s="28">
        <f>H100+H97+H99</f>
        <v/>
      </c>
      <c r="I101" s="28">
        <f>I100+I97+I99</f>
        <v/>
      </c>
      <c r="J101" s="28">
        <f>J100+J97+J99</f>
        <v/>
      </c>
      <c r="K101" s="28">
        <f>K100+K97+K99</f>
        <v/>
      </c>
      <c r="L101" s="28">
        <f>L100+L97+L99</f>
        <v/>
      </c>
      <c r="M101" s="28">
        <f>M100+M97+M99</f>
        <v/>
      </c>
      <c r="N101" s="28">
        <f>N100+N97+N99</f>
        <v/>
      </c>
      <c r="O101" s="28">
        <f>O100+O97+O99</f>
        <v/>
      </c>
      <c r="P101" s="28">
        <f>P100+P97+P99</f>
        <v/>
      </c>
      <c r="Q101" s="28">
        <f>Q100+Q97+Q99</f>
        <v/>
      </c>
      <c r="R101" s="28">
        <f>R100+R97+R99</f>
        <v/>
      </c>
      <c r="S101" s="28">
        <f>S100+S97+S99</f>
        <v/>
      </c>
      <c r="T101" s="28">
        <f>T100+T97+T99</f>
        <v/>
      </c>
      <c r="U101" s="28">
        <f>U100+U97+U99</f>
        <v/>
      </c>
      <c r="V101" s="28">
        <f>V100+V97+V99</f>
        <v/>
      </c>
      <c r="W101" s="28">
        <f>W100+W97+W99</f>
        <v/>
      </c>
    </row>
    <row r="102">
      <c r="A102" s="14" t="inlineStr">
        <is>
          <t>Cash below zero?</t>
        </is>
      </c>
      <c r="B102" t="inlineStr">
        <is>
          <t>1 = yes</t>
        </is>
      </c>
      <c r="C102" s="2" t="inlineStr">
        <is>
          <t>Flags the quarters you would run out</t>
        </is>
      </c>
      <c r="D102" s="23">
        <f>IF(D101&lt;0,1,0)</f>
        <v/>
      </c>
      <c r="E102" s="23">
        <f>IF(E101&lt;0,1,0)</f>
        <v/>
      </c>
      <c r="F102" s="23">
        <f>IF(F101&lt;0,1,0)</f>
        <v/>
      </c>
      <c r="G102" s="23">
        <f>IF(G101&lt;0,1,0)</f>
        <v/>
      </c>
      <c r="H102" s="23">
        <f>IF(H101&lt;0,1,0)</f>
        <v/>
      </c>
      <c r="I102" s="23">
        <f>IF(I101&lt;0,1,0)</f>
        <v/>
      </c>
      <c r="J102" s="23">
        <f>IF(J101&lt;0,1,0)</f>
        <v/>
      </c>
      <c r="K102" s="23">
        <f>IF(K101&lt;0,1,0)</f>
        <v/>
      </c>
      <c r="L102" s="23">
        <f>IF(L101&lt;0,1,0)</f>
        <v/>
      </c>
      <c r="M102" s="23">
        <f>IF(M101&lt;0,1,0)</f>
        <v/>
      </c>
      <c r="N102" s="23">
        <f>IF(N101&lt;0,1,0)</f>
        <v/>
      </c>
      <c r="O102" s="23">
        <f>IF(O101&lt;0,1,0)</f>
        <v/>
      </c>
      <c r="P102" s="23">
        <f>IF(P101&lt;0,1,0)</f>
        <v/>
      </c>
      <c r="Q102" s="23">
        <f>IF(Q101&lt;0,1,0)</f>
        <v/>
      </c>
      <c r="R102" s="23">
        <f>IF(R101&lt;0,1,0)</f>
        <v/>
      </c>
      <c r="S102" s="23">
        <f>IF(S101&lt;0,1,0)</f>
        <v/>
      </c>
      <c r="T102" s="23">
        <f>IF(T101&lt;0,1,0)</f>
        <v/>
      </c>
      <c r="U102" s="23">
        <f>IF(U101&lt;0,1,0)</f>
        <v/>
      </c>
      <c r="V102" s="23">
        <f>IF(V101&lt;0,1,0)</f>
        <v/>
      </c>
      <c r="W102" s="23">
        <f>IF(W101&lt;0,1,0)</f>
        <v/>
      </c>
    </row>
    <row r="103">
      <c r="A103" s="14" t="inlineStr">
        <is>
          <t>EBITDA positive?</t>
        </is>
      </c>
      <c r="B103" t="inlineStr">
        <is>
          <t>1 = yes</t>
        </is>
      </c>
      <c r="C103" s="2" t="inlineStr">
        <is>
          <t>Flags the profitable quarters</t>
        </is>
      </c>
      <c r="D103" s="23">
        <f>IF(D92&gt;0,1,0)</f>
        <v/>
      </c>
      <c r="E103" s="23">
        <f>IF(E92&gt;0,1,0)</f>
        <v/>
      </c>
      <c r="F103" s="23">
        <f>IF(F92&gt;0,1,0)</f>
        <v/>
      </c>
      <c r="G103" s="23">
        <f>IF(G92&gt;0,1,0)</f>
        <v/>
      </c>
      <c r="H103" s="23">
        <f>IF(H92&gt;0,1,0)</f>
        <v/>
      </c>
      <c r="I103" s="23">
        <f>IF(I92&gt;0,1,0)</f>
        <v/>
      </c>
      <c r="J103" s="23">
        <f>IF(J92&gt;0,1,0)</f>
        <v/>
      </c>
      <c r="K103" s="23">
        <f>IF(K92&gt;0,1,0)</f>
        <v/>
      </c>
      <c r="L103" s="23">
        <f>IF(L92&gt;0,1,0)</f>
        <v/>
      </c>
      <c r="M103" s="23">
        <f>IF(M92&gt;0,1,0)</f>
        <v/>
      </c>
      <c r="N103" s="23">
        <f>IF(N92&gt;0,1,0)</f>
        <v/>
      </c>
      <c r="O103" s="23">
        <f>IF(O92&gt;0,1,0)</f>
        <v/>
      </c>
      <c r="P103" s="23">
        <f>IF(P92&gt;0,1,0)</f>
        <v/>
      </c>
      <c r="Q103" s="23">
        <f>IF(Q92&gt;0,1,0)</f>
        <v/>
      </c>
      <c r="R103" s="23">
        <f>IF(R92&gt;0,1,0)</f>
        <v/>
      </c>
      <c r="S103" s="23">
        <f>IF(S92&gt;0,1,0)</f>
        <v/>
      </c>
      <c r="T103" s="23">
        <f>IF(T92&gt;0,1,0)</f>
        <v/>
      </c>
      <c r="U103" s="23">
        <f>IF(U92&gt;0,1,0)</f>
        <v/>
      </c>
      <c r="V103" s="23">
        <f>IF(V92&gt;0,1,0)</f>
        <v/>
      </c>
      <c r="W103" s="23">
        <f>IF(W92&gt;0,1,0)</f>
        <v/>
      </c>
    </row>
    <row r="104">
      <c r="A104" s="14" t="inlineStr">
        <is>
          <t>Cash check</t>
        </is>
      </c>
      <c r="B104" t="inlineStr">
        <is>
          <t>should be 0</t>
        </is>
      </c>
      <c r="C104" s="2" t="inlineStr">
        <is>
          <t>Closing cash - (cash today + all cash flows so far)</t>
        </is>
      </c>
      <c r="D104" s="29">
        <f>ROUND(D101-(Inputs!$B$9+D98+SUM($D$99:D99)),2)</f>
        <v/>
      </c>
      <c r="E104" s="29">
        <f>ROUND(E101-(Inputs!$B$9+E98+SUM($D$99:E99)),2)</f>
        <v/>
      </c>
      <c r="F104" s="29">
        <f>ROUND(F101-(Inputs!$B$9+F98+SUM($D$99:F99)),2)</f>
        <v/>
      </c>
      <c r="G104" s="29">
        <f>ROUND(G101-(Inputs!$B$9+G98+SUM($D$99:G99)),2)</f>
        <v/>
      </c>
      <c r="H104" s="29">
        <f>ROUND(H101-(Inputs!$B$9+H98+SUM($D$99:H99)),2)</f>
        <v/>
      </c>
      <c r="I104" s="29">
        <f>ROUND(I101-(Inputs!$B$9+I98+SUM($D$99:I99)),2)</f>
        <v/>
      </c>
      <c r="J104" s="29">
        <f>ROUND(J101-(Inputs!$B$9+J98+SUM($D$99:J99)),2)</f>
        <v/>
      </c>
      <c r="K104" s="29">
        <f>ROUND(K101-(Inputs!$B$9+K98+SUM($D$99:K99)),2)</f>
        <v/>
      </c>
      <c r="L104" s="29">
        <f>ROUND(L101-(Inputs!$B$9+L98+SUM($D$99:L99)),2)</f>
        <v/>
      </c>
      <c r="M104" s="29">
        <f>ROUND(M101-(Inputs!$B$9+M98+SUM($D$99:M99)),2)</f>
        <v/>
      </c>
      <c r="N104" s="29">
        <f>ROUND(N101-(Inputs!$B$9+N98+SUM($D$99:N99)),2)</f>
        <v/>
      </c>
      <c r="O104" s="29">
        <f>ROUND(O101-(Inputs!$B$9+O98+SUM($D$99:O99)),2)</f>
        <v/>
      </c>
      <c r="P104" s="29">
        <f>ROUND(P101-(Inputs!$B$9+P98+SUM($D$99:P99)),2)</f>
        <v/>
      </c>
      <c r="Q104" s="29">
        <f>ROUND(Q101-(Inputs!$B$9+Q98+SUM($D$99:Q99)),2)</f>
        <v/>
      </c>
      <c r="R104" s="29">
        <f>ROUND(R101-(Inputs!$B$9+R98+SUM($D$99:R99)),2)</f>
        <v/>
      </c>
      <c r="S104" s="29">
        <f>ROUND(S101-(Inputs!$B$9+S98+SUM($D$99:S99)),2)</f>
        <v/>
      </c>
      <c r="T104" s="29">
        <f>ROUND(T101-(Inputs!$B$9+T98+SUM($D$99:T99)),2)</f>
        <v/>
      </c>
      <c r="U104" s="29">
        <f>ROUND(U101-(Inputs!$B$9+U98+SUM($D$99:U99)),2)</f>
        <v/>
      </c>
      <c r="V104" s="29">
        <f>ROUND(V101-(Inputs!$B$9+V98+SUM($D$99:V99)),2)</f>
        <v/>
      </c>
      <c r="W104" s="29">
        <f>ROUND(W101-(Inputs!$B$9+W98+SUM($D$99:W99)),2)</f>
        <v/>
      </c>
    </row>
    <row r="105">
      <c r="A105" s="4" t="inlineStr">
        <is>
          <t>Cash under each pricing model (for the comparison above)</t>
        </is>
      </c>
      <c r="B105" s="5" t="n"/>
      <c r="C105" s="5" t="n"/>
      <c r="D105" s="5" t="n"/>
      <c r="E105" s="5" t="n"/>
      <c r="F105" s="5" t="n"/>
      <c r="G105" s="5" t="n"/>
      <c r="H105" s="5" t="n"/>
      <c r="I105" s="5" t="n"/>
      <c r="J105" s="5" t="n"/>
      <c r="K105" s="5" t="n"/>
      <c r="L105" s="5" t="n"/>
      <c r="M105" s="5" t="n"/>
      <c r="N105" s="5" t="n"/>
      <c r="O105" s="5" t="n"/>
      <c r="P105" s="5" t="n"/>
      <c r="Q105" s="5" t="n"/>
      <c r="R105" s="5" t="n"/>
      <c r="S105" s="5" t="n"/>
      <c r="T105" s="5" t="n"/>
      <c r="U105" s="5" t="n"/>
      <c r="V105" s="5" t="n"/>
      <c r="W105" s="5" t="n"/>
    </row>
    <row r="106">
      <c r="A106" s="14" t="inlineStr">
        <is>
          <t>Operating cash flow, per seat</t>
        </is>
      </c>
      <c r="B106" t="inlineStr">
        <is>
          <t>$</t>
        </is>
      </c>
      <c r="C106" s="2" t="inlineStr">
        <is>
          <t>Same costs, per-seat revenue</t>
        </is>
      </c>
      <c r="D106" s="18">
        <f>D72*(1-MIN(1,Inputs!$B$47/90))+Inputs!$B$10-D96</f>
        <v/>
      </c>
      <c r="E106" s="18">
        <f>E72*(1-MIN(1,Inputs!$B$47/90))+D72*MIN(1,Inputs!$B$47/90)-E96</f>
        <v/>
      </c>
      <c r="F106" s="18">
        <f>F72*(1-MIN(1,Inputs!$B$47/90))+E72*MIN(1,Inputs!$B$47/90)-F96</f>
        <v/>
      </c>
      <c r="G106" s="18">
        <f>G72*(1-MIN(1,Inputs!$B$47/90))+F72*MIN(1,Inputs!$B$47/90)-G96</f>
        <v/>
      </c>
      <c r="H106" s="18">
        <f>H72*(1-MIN(1,Inputs!$B$47/90))+G72*MIN(1,Inputs!$B$47/90)-H96</f>
        <v/>
      </c>
      <c r="I106" s="18">
        <f>I72*(1-MIN(1,Inputs!$B$47/90))+H72*MIN(1,Inputs!$B$47/90)-I96</f>
        <v/>
      </c>
      <c r="J106" s="18">
        <f>J72*(1-MIN(1,Inputs!$B$47/90))+I72*MIN(1,Inputs!$B$47/90)-J96</f>
        <v/>
      </c>
      <c r="K106" s="18">
        <f>K72*(1-MIN(1,Inputs!$B$47/90))+J72*MIN(1,Inputs!$B$47/90)-K96</f>
        <v/>
      </c>
      <c r="L106" s="18">
        <f>L72*(1-MIN(1,Inputs!$B$47/90))+K72*MIN(1,Inputs!$B$47/90)-L96</f>
        <v/>
      </c>
      <c r="M106" s="18">
        <f>M72*(1-MIN(1,Inputs!$B$47/90))+L72*MIN(1,Inputs!$B$47/90)-M96</f>
        <v/>
      </c>
      <c r="N106" s="18">
        <f>N72*(1-MIN(1,Inputs!$B$47/90))+M72*MIN(1,Inputs!$B$47/90)-N96</f>
        <v/>
      </c>
      <c r="O106" s="18">
        <f>O72*(1-MIN(1,Inputs!$B$47/90))+N72*MIN(1,Inputs!$B$47/90)-O96</f>
        <v/>
      </c>
      <c r="P106" s="18">
        <f>P72*(1-MIN(1,Inputs!$B$47/90))+O72*MIN(1,Inputs!$B$47/90)-P96</f>
        <v/>
      </c>
      <c r="Q106" s="18">
        <f>Q72*(1-MIN(1,Inputs!$B$47/90))+P72*MIN(1,Inputs!$B$47/90)-Q96</f>
        <v/>
      </c>
      <c r="R106" s="18">
        <f>R72*(1-MIN(1,Inputs!$B$47/90))+Q72*MIN(1,Inputs!$B$47/90)-R96</f>
        <v/>
      </c>
      <c r="S106" s="18">
        <f>S72*(1-MIN(1,Inputs!$B$47/90))+R72*MIN(1,Inputs!$B$47/90)-S96</f>
        <v/>
      </c>
      <c r="T106" s="18">
        <f>T72*(1-MIN(1,Inputs!$B$47/90))+S72*MIN(1,Inputs!$B$47/90)-T96</f>
        <v/>
      </c>
      <c r="U106" s="18">
        <f>U72*(1-MIN(1,Inputs!$B$47/90))+T72*MIN(1,Inputs!$B$47/90)-U96</f>
        <v/>
      </c>
      <c r="V106" s="18">
        <f>V72*(1-MIN(1,Inputs!$B$47/90))+U72*MIN(1,Inputs!$B$47/90)-V96</f>
        <v/>
      </c>
      <c r="W106" s="18">
        <f>W72*(1-MIN(1,Inputs!$B$47/90))+V72*MIN(1,Inputs!$B$47/90)-W96</f>
        <v/>
      </c>
    </row>
    <row r="107">
      <c r="A107" s="14" t="inlineStr">
        <is>
          <t>Cumulative, per seat</t>
        </is>
      </c>
      <c r="B107" t="inlineStr">
        <is>
          <t>$</t>
        </is>
      </c>
      <c r="C107" s="2" t="inlineStr">
        <is>
          <t>Running total</t>
        </is>
      </c>
      <c r="D107" s="18">
        <f>D106</f>
        <v/>
      </c>
      <c r="E107" s="18">
        <f>D107+E106</f>
        <v/>
      </c>
      <c r="F107" s="18">
        <f>E107+F106</f>
        <v/>
      </c>
      <c r="G107" s="18">
        <f>F107+G106</f>
        <v/>
      </c>
      <c r="H107" s="18">
        <f>G107+H106</f>
        <v/>
      </c>
      <c r="I107" s="18">
        <f>H107+I106</f>
        <v/>
      </c>
      <c r="J107" s="18">
        <f>I107+J106</f>
        <v/>
      </c>
      <c r="K107" s="18">
        <f>J107+K106</f>
        <v/>
      </c>
      <c r="L107" s="18">
        <f>K107+L106</f>
        <v/>
      </c>
      <c r="M107" s="18">
        <f>L107+M106</f>
        <v/>
      </c>
      <c r="N107" s="18">
        <f>M107+N106</f>
        <v/>
      </c>
      <c r="O107" s="18">
        <f>N107+O106</f>
        <v/>
      </c>
      <c r="P107" s="18">
        <f>O107+P106</f>
        <v/>
      </c>
      <c r="Q107" s="18">
        <f>P107+Q106</f>
        <v/>
      </c>
      <c r="R107" s="18">
        <f>Q107+R106</f>
        <v/>
      </c>
      <c r="S107" s="18">
        <f>R107+S106</f>
        <v/>
      </c>
      <c r="T107" s="18">
        <f>S107+T106</f>
        <v/>
      </c>
      <c r="U107" s="18">
        <f>T107+U106</f>
        <v/>
      </c>
      <c r="V107" s="18">
        <f>U107+V106</f>
        <v/>
      </c>
      <c r="W107" s="18">
        <f>V107+W106</f>
        <v/>
      </c>
    </row>
    <row r="108">
      <c r="A108" s="14" t="inlineStr">
        <is>
          <t>Operating cash flow, per conversation</t>
        </is>
      </c>
      <c r="B108" t="inlineStr">
        <is>
          <t>$</t>
        </is>
      </c>
      <c r="C108" s="2" t="inlineStr">
        <is>
          <t>Same costs, per-conversation revenue</t>
        </is>
      </c>
      <c r="D108" s="18">
        <f>D73*(1-MIN(1,Inputs!$B$47/90))+Inputs!$B$10-D96</f>
        <v/>
      </c>
      <c r="E108" s="18">
        <f>E73*(1-MIN(1,Inputs!$B$47/90))+D73*MIN(1,Inputs!$B$47/90)-E96</f>
        <v/>
      </c>
      <c r="F108" s="18">
        <f>F73*(1-MIN(1,Inputs!$B$47/90))+E73*MIN(1,Inputs!$B$47/90)-F96</f>
        <v/>
      </c>
      <c r="G108" s="18">
        <f>G73*(1-MIN(1,Inputs!$B$47/90))+F73*MIN(1,Inputs!$B$47/90)-G96</f>
        <v/>
      </c>
      <c r="H108" s="18">
        <f>H73*(1-MIN(1,Inputs!$B$47/90))+G73*MIN(1,Inputs!$B$47/90)-H96</f>
        <v/>
      </c>
      <c r="I108" s="18">
        <f>I73*(1-MIN(1,Inputs!$B$47/90))+H73*MIN(1,Inputs!$B$47/90)-I96</f>
        <v/>
      </c>
      <c r="J108" s="18">
        <f>J73*(1-MIN(1,Inputs!$B$47/90))+I73*MIN(1,Inputs!$B$47/90)-J96</f>
        <v/>
      </c>
      <c r="K108" s="18">
        <f>K73*(1-MIN(1,Inputs!$B$47/90))+J73*MIN(1,Inputs!$B$47/90)-K96</f>
        <v/>
      </c>
      <c r="L108" s="18">
        <f>L73*(1-MIN(1,Inputs!$B$47/90))+K73*MIN(1,Inputs!$B$47/90)-L96</f>
        <v/>
      </c>
      <c r="M108" s="18">
        <f>M73*(1-MIN(1,Inputs!$B$47/90))+L73*MIN(1,Inputs!$B$47/90)-M96</f>
        <v/>
      </c>
      <c r="N108" s="18">
        <f>N73*(1-MIN(1,Inputs!$B$47/90))+M73*MIN(1,Inputs!$B$47/90)-N96</f>
        <v/>
      </c>
      <c r="O108" s="18">
        <f>O73*(1-MIN(1,Inputs!$B$47/90))+N73*MIN(1,Inputs!$B$47/90)-O96</f>
        <v/>
      </c>
      <c r="P108" s="18">
        <f>P73*(1-MIN(1,Inputs!$B$47/90))+O73*MIN(1,Inputs!$B$47/90)-P96</f>
        <v/>
      </c>
      <c r="Q108" s="18">
        <f>Q73*(1-MIN(1,Inputs!$B$47/90))+P73*MIN(1,Inputs!$B$47/90)-Q96</f>
        <v/>
      </c>
      <c r="R108" s="18">
        <f>R73*(1-MIN(1,Inputs!$B$47/90))+Q73*MIN(1,Inputs!$B$47/90)-R96</f>
        <v/>
      </c>
      <c r="S108" s="18">
        <f>S73*(1-MIN(1,Inputs!$B$47/90))+R73*MIN(1,Inputs!$B$47/90)-S96</f>
        <v/>
      </c>
      <c r="T108" s="18">
        <f>T73*(1-MIN(1,Inputs!$B$47/90))+S73*MIN(1,Inputs!$B$47/90)-T96</f>
        <v/>
      </c>
      <c r="U108" s="18">
        <f>U73*(1-MIN(1,Inputs!$B$47/90))+T73*MIN(1,Inputs!$B$47/90)-U96</f>
        <v/>
      </c>
      <c r="V108" s="18">
        <f>V73*(1-MIN(1,Inputs!$B$47/90))+U73*MIN(1,Inputs!$B$47/90)-V96</f>
        <v/>
      </c>
      <c r="W108" s="18">
        <f>W73*(1-MIN(1,Inputs!$B$47/90))+V73*MIN(1,Inputs!$B$47/90)-W96</f>
        <v/>
      </c>
    </row>
    <row r="109">
      <c r="A109" s="14" t="inlineStr">
        <is>
          <t>Cumulative, per conversation</t>
        </is>
      </c>
      <c r="B109" t="inlineStr">
        <is>
          <t>$</t>
        </is>
      </c>
      <c r="C109" s="2" t="inlineStr">
        <is>
          <t>Running total</t>
        </is>
      </c>
      <c r="D109" s="18">
        <f>D108</f>
        <v/>
      </c>
      <c r="E109" s="18">
        <f>D109+E108</f>
        <v/>
      </c>
      <c r="F109" s="18">
        <f>E109+F108</f>
        <v/>
      </c>
      <c r="G109" s="18">
        <f>F109+G108</f>
        <v/>
      </c>
      <c r="H109" s="18">
        <f>G109+H108</f>
        <v/>
      </c>
      <c r="I109" s="18">
        <f>H109+I108</f>
        <v/>
      </c>
      <c r="J109" s="18">
        <f>I109+J108</f>
        <v/>
      </c>
      <c r="K109" s="18">
        <f>J109+K108</f>
        <v/>
      </c>
      <c r="L109" s="18">
        <f>K109+L108</f>
        <v/>
      </c>
      <c r="M109" s="18">
        <f>L109+M108</f>
        <v/>
      </c>
      <c r="N109" s="18">
        <f>M109+N108</f>
        <v/>
      </c>
      <c r="O109" s="18">
        <f>N109+O108</f>
        <v/>
      </c>
      <c r="P109" s="18">
        <f>O109+P108</f>
        <v/>
      </c>
      <c r="Q109" s="18">
        <f>P109+Q108</f>
        <v/>
      </c>
      <c r="R109" s="18">
        <f>Q109+R108</f>
        <v/>
      </c>
      <c r="S109" s="18">
        <f>R109+S108</f>
        <v/>
      </c>
      <c r="T109" s="18">
        <f>S109+T108</f>
        <v/>
      </c>
      <c r="U109" s="18">
        <f>T109+U108</f>
        <v/>
      </c>
      <c r="V109" s="18">
        <f>U109+V108</f>
        <v/>
      </c>
      <c r="W109" s="18">
        <f>V109+W108</f>
        <v/>
      </c>
    </row>
    <row r="110">
      <c r="A110" s="14" t="inlineStr">
        <is>
          <t>Operating cash flow, per resolution</t>
        </is>
      </c>
      <c r="B110" t="inlineStr">
        <is>
          <t>$</t>
        </is>
      </c>
      <c r="C110" s="2" t="inlineStr">
        <is>
          <t>Same costs, per-resolution revenue</t>
        </is>
      </c>
      <c r="D110" s="18">
        <f>D74*(1-MIN(1,Inputs!$B$47/90))+Inputs!$B$10-D96</f>
        <v/>
      </c>
      <c r="E110" s="18">
        <f>E74*(1-MIN(1,Inputs!$B$47/90))+D74*MIN(1,Inputs!$B$47/90)-E96</f>
        <v/>
      </c>
      <c r="F110" s="18">
        <f>F74*(1-MIN(1,Inputs!$B$47/90))+E74*MIN(1,Inputs!$B$47/90)-F96</f>
        <v/>
      </c>
      <c r="G110" s="18">
        <f>G74*(1-MIN(1,Inputs!$B$47/90))+F74*MIN(1,Inputs!$B$47/90)-G96</f>
        <v/>
      </c>
      <c r="H110" s="18">
        <f>H74*(1-MIN(1,Inputs!$B$47/90))+G74*MIN(1,Inputs!$B$47/90)-H96</f>
        <v/>
      </c>
      <c r="I110" s="18">
        <f>I74*(1-MIN(1,Inputs!$B$47/90))+H74*MIN(1,Inputs!$B$47/90)-I96</f>
        <v/>
      </c>
      <c r="J110" s="18">
        <f>J74*(1-MIN(1,Inputs!$B$47/90))+I74*MIN(1,Inputs!$B$47/90)-J96</f>
        <v/>
      </c>
      <c r="K110" s="18">
        <f>K74*(1-MIN(1,Inputs!$B$47/90))+J74*MIN(1,Inputs!$B$47/90)-K96</f>
        <v/>
      </c>
      <c r="L110" s="18">
        <f>L74*(1-MIN(1,Inputs!$B$47/90))+K74*MIN(1,Inputs!$B$47/90)-L96</f>
        <v/>
      </c>
      <c r="M110" s="18">
        <f>M74*(1-MIN(1,Inputs!$B$47/90))+L74*MIN(1,Inputs!$B$47/90)-M96</f>
        <v/>
      </c>
      <c r="N110" s="18">
        <f>N74*(1-MIN(1,Inputs!$B$47/90))+M74*MIN(1,Inputs!$B$47/90)-N96</f>
        <v/>
      </c>
      <c r="O110" s="18">
        <f>O74*(1-MIN(1,Inputs!$B$47/90))+N74*MIN(1,Inputs!$B$47/90)-O96</f>
        <v/>
      </c>
      <c r="P110" s="18">
        <f>P74*(1-MIN(1,Inputs!$B$47/90))+O74*MIN(1,Inputs!$B$47/90)-P96</f>
        <v/>
      </c>
      <c r="Q110" s="18">
        <f>Q74*(1-MIN(1,Inputs!$B$47/90))+P74*MIN(1,Inputs!$B$47/90)-Q96</f>
        <v/>
      </c>
      <c r="R110" s="18">
        <f>R74*(1-MIN(1,Inputs!$B$47/90))+Q74*MIN(1,Inputs!$B$47/90)-R96</f>
        <v/>
      </c>
      <c r="S110" s="18">
        <f>S74*(1-MIN(1,Inputs!$B$47/90))+R74*MIN(1,Inputs!$B$47/90)-S96</f>
        <v/>
      </c>
      <c r="T110" s="18">
        <f>T74*(1-MIN(1,Inputs!$B$47/90))+S74*MIN(1,Inputs!$B$47/90)-T96</f>
        <v/>
      </c>
      <c r="U110" s="18">
        <f>U74*(1-MIN(1,Inputs!$B$47/90))+T74*MIN(1,Inputs!$B$47/90)-U96</f>
        <v/>
      </c>
      <c r="V110" s="18">
        <f>V74*(1-MIN(1,Inputs!$B$47/90))+U74*MIN(1,Inputs!$B$47/90)-V96</f>
        <v/>
      </c>
      <c r="W110" s="18">
        <f>W74*(1-MIN(1,Inputs!$B$47/90))+V74*MIN(1,Inputs!$B$47/90)-W96</f>
        <v/>
      </c>
    </row>
    <row r="111">
      <c r="A111" s="14" t="inlineStr">
        <is>
          <t>Cumulative, per resolution</t>
        </is>
      </c>
      <c r="B111" t="inlineStr">
        <is>
          <t>$</t>
        </is>
      </c>
      <c r="C111" s="2" t="inlineStr">
        <is>
          <t>Running total</t>
        </is>
      </c>
      <c r="D111" s="18">
        <f>D110</f>
        <v/>
      </c>
      <c r="E111" s="18">
        <f>D111+E110</f>
        <v/>
      </c>
      <c r="F111" s="18">
        <f>E111+F110</f>
        <v/>
      </c>
      <c r="G111" s="18">
        <f>F111+G110</f>
        <v/>
      </c>
      <c r="H111" s="18">
        <f>G111+H110</f>
        <v/>
      </c>
      <c r="I111" s="18">
        <f>H111+I110</f>
        <v/>
      </c>
      <c r="J111" s="18">
        <f>I111+J110</f>
        <v/>
      </c>
      <c r="K111" s="18">
        <f>J111+K110</f>
        <v/>
      </c>
      <c r="L111" s="18">
        <f>K111+L110</f>
        <v/>
      </c>
      <c r="M111" s="18">
        <f>L111+M110</f>
        <v/>
      </c>
      <c r="N111" s="18">
        <f>M111+N110</f>
        <v/>
      </c>
      <c r="O111" s="18">
        <f>N111+O110</f>
        <v/>
      </c>
      <c r="P111" s="18">
        <f>O111+P110</f>
        <v/>
      </c>
      <c r="Q111" s="18">
        <f>P111+Q110</f>
        <v/>
      </c>
      <c r="R111" s="18">
        <f>Q111+R110</f>
        <v/>
      </c>
      <c r="S111" s="18">
        <f>R111+S110</f>
        <v/>
      </c>
      <c r="T111" s="18">
        <f>S111+T110</f>
        <v/>
      </c>
      <c r="U111" s="18">
        <f>T111+U110</f>
        <v/>
      </c>
      <c r="V111" s="18">
        <f>U111+V110</f>
        <v/>
      </c>
      <c r="W111" s="18">
        <f>V111+W110</f>
        <v/>
      </c>
    </row>
    <row r="112">
      <c r="A112" s="14" t="inlineStr">
        <is>
          <t>Operating cash flow, hybrid</t>
        </is>
      </c>
      <c r="B112" t="inlineStr">
        <is>
          <t>$</t>
        </is>
      </c>
      <c r="C112" s="2" t="inlineStr">
        <is>
          <t>Same costs, hybrid revenue</t>
        </is>
      </c>
      <c r="D112" s="18">
        <f>D75*(1-MIN(1,Inputs!$B$47/90))+Inputs!$B$10-D96</f>
        <v/>
      </c>
      <c r="E112" s="18">
        <f>E75*(1-MIN(1,Inputs!$B$47/90))+D75*MIN(1,Inputs!$B$47/90)-E96</f>
        <v/>
      </c>
      <c r="F112" s="18">
        <f>F75*(1-MIN(1,Inputs!$B$47/90))+E75*MIN(1,Inputs!$B$47/90)-F96</f>
        <v/>
      </c>
      <c r="G112" s="18">
        <f>G75*(1-MIN(1,Inputs!$B$47/90))+F75*MIN(1,Inputs!$B$47/90)-G96</f>
        <v/>
      </c>
      <c r="H112" s="18">
        <f>H75*(1-MIN(1,Inputs!$B$47/90))+G75*MIN(1,Inputs!$B$47/90)-H96</f>
        <v/>
      </c>
      <c r="I112" s="18">
        <f>I75*(1-MIN(1,Inputs!$B$47/90))+H75*MIN(1,Inputs!$B$47/90)-I96</f>
        <v/>
      </c>
      <c r="J112" s="18">
        <f>J75*(1-MIN(1,Inputs!$B$47/90))+I75*MIN(1,Inputs!$B$47/90)-J96</f>
        <v/>
      </c>
      <c r="K112" s="18">
        <f>K75*(1-MIN(1,Inputs!$B$47/90))+J75*MIN(1,Inputs!$B$47/90)-K96</f>
        <v/>
      </c>
      <c r="L112" s="18">
        <f>L75*(1-MIN(1,Inputs!$B$47/90))+K75*MIN(1,Inputs!$B$47/90)-L96</f>
        <v/>
      </c>
      <c r="M112" s="18">
        <f>M75*(1-MIN(1,Inputs!$B$47/90))+L75*MIN(1,Inputs!$B$47/90)-M96</f>
        <v/>
      </c>
      <c r="N112" s="18">
        <f>N75*(1-MIN(1,Inputs!$B$47/90))+M75*MIN(1,Inputs!$B$47/90)-N96</f>
        <v/>
      </c>
      <c r="O112" s="18">
        <f>O75*(1-MIN(1,Inputs!$B$47/90))+N75*MIN(1,Inputs!$B$47/90)-O96</f>
        <v/>
      </c>
      <c r="P112" s="18">
        <f>P75*(1-MIN(1,Inputs!$B$47/90))+O75*MIN(1,Inputs!$B$47/90)-P96</f>
        <v/>
      </c>
      <c r="Q112" s="18">
        <f>Q75*(1-MIN(1,Inputs!$B$47/90))+P75*MIN(1,Inputs!$B$47/90)-Q96</f>
        <v/>
      </c>
      <c r="R112" s="18">
        <f>R75*(1-MIN(1,Inputs!$B$47/90))+Q75*MIN(1,Inputs!$B$47/90)-R96</f>
        <v/>
      </c>
      <c r="S112" s="18">
        <f>S75*(1-MIN(1,Inputs!$B$47/90))+R75*MIN(1,Inputs!$B$47/90)-S96</f>
        <v/>
      </c>
      <c r="T112" s="18">
        <f>T75*(1-MIN(1,Inputs!$B$47/90))+S75*MIN(1,Inputs!$B$47/90)-T96</f>
        <v/>
      </c>
      <c r="U112" s="18">
        <f>U75*(1-MIN(1,Inputs!$B$47/90))+T75*MIN(1,Inputs!$B$47/90)-U96</f>
        <v/>
      </c>
      <c r="V112" s="18">
        <f>V75*(1-MIN(1,Inputs!$B$47/90))+U75*MIN(1,Inputs!$B$47/90)-V96</f>
        <v/>
      </c>
      <c r="W112" s="18">
        <f>W75*(1-MIN(1,Inputs!$B$47/90))+V75*MIN(1,Inputs!$B$47/90)-W96</f>
        <v/>
      </c>
    </row>
    <row r="113">
      <c r="A113" s="14" t="inlineStr">
        <is>
          <t>Cumulative, hybrid</t>
        </is>
      </c>
      <c r="B113" t="inlineStr">
        <is>
          <t>$</t>
        </is>
      </c>
      <c r="C113" s="2" t="inlineStr">
        <is>
          <t>Running total</t>
        </is>
      </c>
      <c r="D113" s="18">
        <f>D112</f>
        <v/>
      </c>
      <c r="E113" s="18">
        <f>D113+E112</f>
        <v/>
      </c>
      <c r="F113" s="18">
        <f>E113+F112</f>
        <v/>
      </c>
      <c r="G113" s="18">
        <f>F113+G112</f>
        <v/>
      </c>
      <c r="H113" s="18">
        <f>G113+H112</f>
        <v/>
      </c>
      <c r="I113" s="18">
        <f>H113+I112</f>
        <v/>
      </c>
      <c r="J113" s="18">
        <f>I113+J112</f>
        <v/>
      </c>
      <c r="K113" s="18">
        <f>J113+K112</f>
        <v/>
      </c>
      <c r="L113" s="18">
        <f>K113+L112</f>
        <v/>
      </c>
      <c r="M113" s="18">
        <f>L113+M112</f>
        <v/>
      </c>
      <c r="N113" s="18">
        <f>M113+N112</f>
        <v/>
      </c>
      <c r="O113" s="18">
        <f>N113+O112</f>
        <v/>
      </c>
      <c r="P113" s="18">
        <f>O113+P112</f>
        <v/>
      </c>
      <c r="Q113" s="18">
        <f>P113+Q112</f>
        <v/>
      </c>
      <c r="R113" s="18">
        <f>Q113+R112</f>
        <v/>
      </c>
      <c r="S113" s="18">
        <f>R113+S112</f>
        <v/>
      </c>
      <c r="T113" s="18">
        <f>S113+T112</f>
        <v/>
      </c>
      <c r="U113" s="18">
        <f>T113+U112</f>
        <v/>
      </c>
      <c r="V113" s="18">
        <f>U113+V112</f>
        <v/>
      </c>
      <c r="W113" s="18">
        <f>V113+W112</f>
        <v/>
      </c>
    </row>
  </sheetData>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5" customWidth="1" min="1" max="1"/>
    <col width="62" customWidth="1" min="2" max="2"/>
    <col width="62" customWidth="1" min="3" max="3"/>
    <col width="10" customWidth="1" min="4" max="4"/>
  </cols>
  <sheetData>
    <row r="1">
      <c r="A1" s="1" t="inlineStr">
        <is>
          <t>Checklist: before the model goes to investors</t>
        </is>
      </c>
    </row>
    <row r="2">
      <c r="A2" s="2" t="inlineStr">
        <is>
          <t>Tick each line. If you can't, fix the model or have an answer ready.</t>
        </is>
      </c>
    </row>
    <row r="4">
      <c r="A4" s="3" t="inlineStr">
        <is>
          <t>#</t>
        </is>
      </c>
      <c r="B4" s="3" t="inlineStr">
        <is>
          <t>Check</t>
        </is>
      </c>
      <c r="C4" s="3" t="inlineStr">
        <is>
          <t>Why investors ask</t>
        </is>
      </c>
      <c r="D4" s="3" t="inlineStr">
        <is>
          <t>Done?</t>
        </is>
      </c>
    </row>
    <row r="5">
      <c r="A5" s="30" t="n">
        <v>1</v>
      </c>
      <c r="B5" s="31" t="inlineStr">
        <is>
          <t>Revenue comes from customers x usage x price, not a growth rate.</t>
        </is>
      </c>
      <c r="C5" s="31" t="inlineStr">
        <is>
          <t>It shows you know what drives revenue.</t>
        </is>
      </c>
      <c r="D5" s="32" t="n"/>
    </row>
    <row r="6">
      <c r="A6" s="30" t="n">
        <v>2</v>
      </c>
      <c r="B6" s="31" t="inlineStr">
        <is>
          <t>The pricing model matches how customers get value.</t>
        </is>
      </c>
      <c r="C6" s="31" t="inlineStr">
        <is>
          <t>Seat revenue shrinks as your AI does more of the work.</t>
        </is>
      </c>
      <c r="D6" s="32" t="n"/>
    </row>
    <row r="7">
      <c r="A7" s="30" t="n">
        <v>3</v>
      </c>
      <c r="B7" s="31" t="inlineStr">
        <is>
          <t>The AI cost per conversation includes search, tool calls and retries.</t>
        </is>
      </c>
      <c r="C7" s="31" t="inlineStr">
        <is>
          <t>Model fees alone understate the real cost.</t>
        </is>
      </c>
      <c r="D7" s="32" t="n"/>
    </row>
    <row r="8">
      <c r="A8" s="30" t="n">
        <v>4</v>
      </c>
      <c r="B8" s="31" t="inlineStr">
        <is>
          <t>AI costs for serving customers sit in cost of revenue, not R&amp;D.</t>
        </is>
      </c>
      <c r="C8" s="31" t="inlineStr">
        <is>
          <t>Gross margin is the first number they check.</t>
        </is>
      </c>
      <c r="D8" s="32" t="n"/>
    </row>
    <row r="9">
      <c r="A9" s="30" t="n">
        <v>5</v>
      </c>
      <c r="B9" s="31" t="inlineStr">
        <is>
          <t>The onboarding team sits in cost of revenue too.</t>
        </is>
      </c>
      <c r="C9" s="31" t="inlineStr">
        <is>
          <t>Leaving it out flatters the margin.</t>
        </is>
      </c>
      <c r="D9" s="32" t="n"/>
    </row>
    <row r="10">
      <c r="A10" s="30" t="n">
        <v>6</v>
      </c>
      <c r="B10" s="31" t="inlineStr">
        <is>
          <t>The share the AI resolves rises for a reason you can explain.</t>
        </is>
      </c>
      <c r="C10" s="31" t="inlineStr">
        <is>
          <t>Outcome and hybrid revenue depend on it.</t>
        </is>
      </c>
      <c r="D10" s="32" t="n"/>
    </row>
    <row r="11">
      <c r="A11" s="30" t="n">
        <v>7</v>
      </c>
      <c r="B11" s="31" t="inlineStr">
        <is>
          <t>Gross margin rises every year, and you can say why.</t>
        </is>
      </c>
      <c r="C11" s="31" t="inlineStr">
        <is>
          <t>AI margins start lower than software margins.</t>
        </is>
      </c>
      <c r="D11" s="32" t="n"/>
    </row>
    <row r="12">
      <c r="A12" s="30" t="n">
        <v>8</v>
      </c>
      <c r="B12" s="31" t="inlineStr">
        <is>
          <t>Usage is billed after the month, so cash lags revenue.</t>
        </is>
      </c>
      <c r="C12" s="31" t="inlineStr">
        <is>
          <t>You pay model fees before customers pay you.</t>
        </is>
      </c>
      <c r="D12" s="32" t="n"/>
    </row>
    <row r="13">
      <c r="A13" s="30" t="n">
        <v>9</v>
      </c>
      <c r="B13" s="31" t="inlineStr">
        <is>
          <t>You ran the bad cases: double the AI cost, lower resolution.</t>
        </is>
      </c>
      <c r="C13" s="31" t="inlineStr">
        <is>
          <t>They want to see how deep the hole can get.</t>
        </is>
      </c>
      <c r="D13" s="32" t="n"/>
    </row>
    <row r="14">
      <c r="A14" s="30" t="n">
        <v>10</v>
      </c>
      <c r="B14" s="31" t="inlineStr">
        <is>
          <t>The funding need = cash burned + a buffer.</t>
        </is>
      </c>
      <c r="C14" s="31" t="inlineStr">
        <is>
          <t>It sets the size and timing of the round.</t>
        </is>
      </c>
      <c r="D14" s="32" t="n"/>
    </row>
    <row r="15">
      <c r="A15" s="30" t="n">
        <v>11</v>
      </c>
      <c r="B15" s="31" t="inlineStr">
        <is>
          <t>The year-5 numbers are big enough for a venture fund.</t>
        </is>
      </c>
      <c r="C15" s="31" t="inlineStr">
        <is>
          <t>Small plans fail even when they are careful.</t>
        </is>
      </c>
      <c r="D15" s="32" t="n"/>
    </row>
    <row r="16">
      <c r="A16" s="30" t="n">
        <v>12</v>
      </c>
      <c r="B16" s="31" t="inlineStr">
        <is>
          <t>Every number traces back to a blue cell on Inputs.</t>
        </is>
      </c>
      <c r="C16" s="31" t="inlineStr">
        <is>
          <t>No typed numbers inside formulas.</t>
        </is>
      </c>
      <c r="D16" s="32" t="n"/>
    </row>
    <row r="18">
      <c r="B18" s="17" t="inlineStr">
        <is>
          <t>Need a model investors will test hard? waveup.com/financial-modeling-services/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Waveup</dc:creator>
  <dc:title xmlns:dc="http://purl.org/dc/elements/1.1/">AI company revenue model: a fictional AI support-agent startup</dc:title>
  <dcterms:created xmlns:dcterms="http://purl.org/dc/terms/" xmlns:xsi="http://www.w3.org/2001/XMLSchema-instance" xsi:type="dcterms:W3CDTF">2026-10-18T17:05:27Z</dcterms:created>
  <dcterms:modified xmlns:dcterms="http://purl.org/dc/terms/" xmlns:xsi="http://www.w3.org/2001/XMLSchema-instance" xsi:type="dcterms:W3CDTF">2026-10-18T17:05:27Z</dcterms:modified>
</cp:coreProperties>
</file>