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Inputs" sheetId="2" state="visible" r:id="rId2"/>
    <sheet xmlns:r="http://schemas.openxmlformats.org/officeDocument/2006/relationships" name="Cap table" sheetId="3" state="visible" r:id="rId3"/>
    <sheet xmlns:r="http://schemas.openxmlformats.org/officeDocument/2006/relationships" name="Round maths" sheetId="4" state="visible" r:id="rId4"/>
  </sheets>
  <definedNames/>
  <calcPr calcId="124519" fullCalcOnLoad="1"/>
</workbook>
</file>

<file path=xl/styles.xml><?xml version="1.0" encoding="utf-8"?>
<styleSheet xmlns="http://schemas.openxmlformats.org/spreadsheetml/2006/main">
  <numFmts count="7">
    <numFmt numFmtId="164" formatCode="#,##0;-#,##0;&quot;–&quot;"/>
    <numFmt numFmtId="165" formatCode="$#,##0;-$#,##0;&quot;–&quot;"/>
    <numFmt numFmtId="166" formatCode="0.0%"/>
    <numFmt numFmtId="167" formatCode="0.00%;-0.00%;&quot;–&quot;"/>
    <numFmt numFmtId="168" formatCode="$0.0000;-$0.0000;&quot;–&quot;"/>
    <numFmt numFmtId="169" formatCode="$#,##0.00,,&quot;M&quot;;-$#,##0.00,,&quot;M&quot;;&quot;–&quot;"/>
    <numFmt numFmtId="170" formatCode="0.0000"/>
  </numFmts>
  <fonts count="7">
    <font>
      <name val="Calibri"/>
      <family val="2"/>
      <color theme="1"/>
      <sz val="11"/>
      <scheme val="minor"/>
    </font>
    <font>
      <name val="Calibri"/>
      <b val="1"/>
      <color rgb="00171417"/>
      <sz val="16"/>
    </font>
    <font>
      <name val="Calibri"/>
      <b val="1"/>
      <sz val="11"/>
    </font>
    <font>
      <name val="Calibri"/>
      <i val="1"/>
      <color rgb="005C5870"/>
      <sz val="10"/>
    </font>
    <font>
      <name val="Calibri"/>
      <b val="1"/>
      <color rgb="00FFFFFF"/>
      <sz val="11"/>
    </font>
    <font>
      <name val="Calibri"/>
      <color rgb="000000FF"/>
      <sz val="11"/>
    </font>
    <font>
      <name val="Calibri"/>
      <sz val="11"/>
    </font>
  </fonts>
  <fills count="6">
    <fill>
      <patternFill/>
    </fill>
    <fill>
      <patternFill patternType="gray125"/>
    </fill>
    <fill>
      <patternFill patternType="solid">
        <fgColor rgb="00171417"/>
      </patternFill>
    </fill>
    <fill>
      <patternFill patternType="solid">
        <fgColor rgb="007963E9"/>
      </patternFill>
    </fill>
    <fill>
      <patternFill patternType="solid">
        <fgColor rgb="00F3FDD0"/>
      </patternFill>
    </fill>
    <fill>
      <patternFill patternType="solid">
        <fgColor rgb="00ECEBF2"/>
      </patternFill>
    </fill>
  </fills>
  <borders count="2">
    <border>
      <left/>
      <right/>
      <top/>
      <bottom/>
      <diagonal/>
    </border>
    <border>
      <bottom style="thin">
        <color rgb="00ECEBF2"/>
      </bottom>
    </border>
  </borders>
  <cellStyleXfs count="1">
    <xf numFmtId="0" fontId="0" fillId="0" borderId="0"/>
  </cellStyleXfs>
  <cellXfs count="3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3" fillId="0" borderId="0" pivotButton="0" quotePrefix="0" xfId="0"/>
    <xf numFmtId="0" fontId="4" fillId="2" borderId="0" pivotButton="0" quotePrefix="0" xfId="0"/>
    <xf numFmtId="0" fontId="4" fillId="3" borderId="0" pivotButton="0" quotePrefix="0" xfId="0"/>
    <xf numFmtId="0" fontId="0" fillId="3" borderId="0" pivotButton="0" quotePrefix="0" xfId="0"/>
    <xf numFmtId="0" fontId="5" fillId="4" borderId="0" pivotButton="0" quotePrefix="0" xfId="0"/>
    <xf numFmtId="164" fontId="5" fillId="4" borderId="0" pivotButton="0" quotePrefix="0" xfId="0"/>
    <xf numFmtId="165" fontId="5" fillId="4" borderId="0" pivotButton="0" quotePrefix="0" xfId="0"/>
    <xf numFmtId="166" fontId="5" fillId="4" borderId="0" pivotButton="0" quotePrefix="0" xfId="0"/>
    <xf numFmtId="0" fontId="4" fillId="2" borderId="0" applyAlignment="1" pivotButton="0" quotePrefix="0" xfId="0">
      <alignment horizontal="center"/>
    </xf>
    <xf numFmtId="0" fontId="0" fillId="2" borderId="0" pivotButton="0" quotePrefix="0" xfId="0"/>
    <xf numFmtId="0" fontId="4" fillId="2" borderId="0" applyAlignment="1" pivotButton="0" quotePrefix="0" xfId="0">
      <alignment horizontal="right"/>
    </xf>
    <xf numFmtId="0" fontId="2" fillId="0" borderId="0" pivotButton="0" quotePrefix="0" xfId="0"/>
    <xf numFmtId="164" fontId="0" fillId="0" borderId="1" pivotButton="0" quotePrefix="0" xfId="0"/>
    <xf numFmtId="167" fontId="0" fillId="0" borderId="1" pivotButton="0" quotePrefix="0" xfId="0"/>
    <xf numFmtId="0" fontId="6" fillId="0" borderId="0" pivotButton="0" quotePrefix="0" xfId="0"/>
    <xf numFmtId="0" fontId="2" fillId="5" borderId="0" pivotButton="0" quotePrefix="0" xfId="0"/>
    <xf numFmtId="0" fontId="0" fillId="5" borderId="0" pivotButton="0" quotePrefix="0" xfId="0"/>
    <xf numFmtId="164" fontId="2" fillId="5" borderId="0" pivotButton="0" quotePrefix="0" xfId="0"/>
    <xf numFmtId="167" fontId="2" fillId="5" borderId="0" pivotButton="0" quotePrefix="0" xfId="0"/>
    <xf numFmtId="167" fontId="0" fillId="0" borderId="0" applyAlignment="1" pivotButton="0" quotePrefix="0" xfId="0">
      <alignment horizontal="right"/>
    </xf>
    <xf numFmtId="168" fontId="0" fillId="0" borderId="0" applyAlignment="1" pivotButton="0" quotePrefix="0" xfId="0">
      <alignment horizontal="right"/>
    </xf>
    <xf numFmtId="169" fontId="0" fillId="0" borderId="0" applyAlignment="1" pivotButton="0" quotePrefix="0" xfId="0">
      <alignment horizontal="right"/>
    </xf>
    <xf numFmtId="168" fontId="2" fillId="0" borderId="0" pivotButton="0" quotePrefix="0" xfId="0"/>
    <xf numFmtId="0" fontId="0" fillId="0" borderId="0" applyAlignment="1" pivotButton="0" quotePrefix="0" xfId="0">
      <alignment horizontal="center"/>
    </xf>
    <xf numFmtId="164" fontId="0" fillId="0" borderId="1" applyAlignment="1" pivotButton="0" quotePrefix="0" xfId="0">
      <alignment horizontal="right"/>
    </xf>
    <xf numFmtId="168" fontId="0" fillId="0" borderId="1" applyAlignment="1" pivotButton="0" quotePrefix="0" xfId="0">
      <alignment horizontal="right"/>
    </xf>
    <xf numFmtId="167" fontId="0" fillId="0" borderId="1" applyAlignment="1" pivotButton="0" quotePrefix="0" xfId="0">
      <alignment horizontal="right"/>
    </xf>
    <xf numFmtId="170" fontId="0" fillId="0" borderId="1" applyAlignment="1" pivotButton="0" quotePrefix="0" xfId="0">
      <alignment horizontal="right"/>
    </xf>
    <xf numFmtId="0" fontId="2" fillId="0" borderId="1" applyAlignment="1" pivotButton="0" quotePrefix="0" xfId="0">
      <alignment horizontal="right"/>
    </xf>
    <xf numFmtId="164" fontId="2" fillId="0" borderId="1" applyAlignment="1" pivotButton="0" quotePrefix="0" xfId="0">
      <alignment horizontal="right"/>
    </xf>
    <xf numFmtId="168" fontId="2" fillId="0" borderId="1" applyAlignment="1" pivotButton="0" quotePrefix="0" xfId="0">
      <alignment horizontal="right"/>
    </xf>
    <xf numFmtId="169" fontId="0" fillId="0"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12" customWidth="1" min="1" max="1"/>
  </cols>
  <sheetData>
    <row r="1">
      <c r="A1" s="1" t="inlineStr">
        <is>
          <t>How to use this cap table template</t>
        </is>
      </c>
    </row>
    <row r="2">
      <c r="A2" s="2" t="inlineStr"/>
    </row>
    <row r="3">
      <c r="A3" s="3" t="inlineStr">
        <is>
          <t>What it is</t>
        </is>
      </c>
    </row>
    <row r="4">
      <c r="A4" s="2" t="inlineStr">
        <is>
          <t>A cap table for a fictional startup, from founding to Series A: two founders, early staff options, an option pool, a SAFE that converts at the seed, a priced seed round and a Series A. It shows who owns what, fully diluted, after each step. Made by Waveup for waveup.com/blog/cap-table-template/.</t>
        </is>
      </c>
    </row>
    <row r="5">
      <c r="A5" s="2" t="inlineStr"/>
    </row>
    <row r="6">
      <c r="A6" s="3" t="inlineStr">
        <is>
          <t>How to use it</t>
        </is>
      </c>
    </row>
    <row r="7">
      <c r="A7" s="2" t="inlineStr">
        <is>
          <t>1. Open Inputs. Change only the blue cells: your holders, the SAFE and the terms of each round.</t>
        </is>
      </c>
    </row>
    <row r="8">
      <c r="A8" s="2" t="inlineStr">
        <is>
          <t>2. Cap table shows shares and ownership at founding, with the SAFE at its cap, after the seed and after the Series A. Each round column is a pro forma cap table: what the table looks like if the round closes on those terms.</t>
        </is>
      </c>
    </row>
    <row r="9">
      <c r="A9" s="2" t="inlineStr">
        <is>
          <t>3. Round maths shows every step: the SAFE price, the pool top-up, the price per share and the new shares. Column D says how each line is calculated.</t>
        </is>
      </c>
    </row>
    <row r="10">
      <c r="A10" s="2" t="inlineStr">
        <is>
          <t>4. Look at the Checks under the cap table. Every line should say OK.</t>
        </is>
      </c>
    </row>
    <row r="11">
      <c r="A11" s="2" t="inlineStr">
        <is>
          <t>5. Test a term sheet: change the pre-money, the round size or the pool target, and see what the founders keep.</t>
        </is>
      </c>
    </row>
    <row r="12">
      <c r="A12" s="2" t="inlineStr"/>
    </row>
    <row r="13">
      <c r="A13" s="3" t="inlineStr">
        <is>
          <t>How the maths works</t>
        </is>
      </c>
    </row>
    <row r="14">
      <c r="A14" s="2" t="inlineStr">
        <is>
          <t>Fully diluted means every share that exists or is promised: founders' shares, granted options, the unused option pool, and the SAFE once it converts.</t>
        </is>
      </c>
    </row>
    <row r="15">
      <c r="A15" s="2" t="inlineStr">
        <is>
          <t>Price per share = pre-money valuation ÷ fully diluted shares before the new money. That count includes the pool top-up and the converting SAFE, as most term sheets require.</t>
        </is>
      </c>
    </row>
    <row r="16">
      <c r="A16" s="2" t="inlineStr">
        <is>
          <t>The SAFE is a post-money SAFE, the Y Combinator standard. At its cap it buys SAFE amount ÷ cap of the company as it stands just before the seed. It converts at the cap price or the discount price, whichever gives it more shares. The new seed money and the pool top-up then dilute the SAFE holder too.</t>
        </is>
      </c>
    </row>
    <row r="17">
      <c r="A17" s="2" t="inlineStr">
        <is>
          <t>Cap only? Set the discount to 0%. Discount only? Enter a very high cap, such as $1,000,000,000.</t>
        </is>
      </c>
    </row>
    <row r="18">
      <c r="A18" s="2" t="inlineStr">
        <is>
          <t>Pool top-up: new options are added before the round, so the unused pool equals its target share of the fully diluted total after the round. That is the option pool shuffle: the top-up comes out of the existing holders, not the new investor.</t>
        </is>
      </c>
    </row>
    <row r="19">
      <c r="A19" s="2" t="inlineStr">
        <is>
          <t>Share counts are whole shares, rounded down for investors. Prices are shown to four decimals.</t>
        </is>
      </c>
    </row>
    <row r="20">
      <c r="A20" s="2" t="inlineStr"/>
    </row>
    <row r="21">
      <c r="A21" s="3" t="inlineStr">
        <is>
          <t>What it leaves out</t>
        </is>
      </c>
    </row>
    <row r="22">
      <c r="A22" s="2" t="inlineStr">
        <is>
          <t>Several SAFEs on different terms, convertible note interest, warrants, secondary sales, and the rights attached to preferred shares (liquidation preference, anti-dilution). For those, use your lawyer's model or cap table software.</t>
        </is>
      </c>
    </row>
    <row r="23">
      <c r="A23" s="2" t="inlineStr"/>
    </row>
    <row r="24">
      <c r="A24" s="3" t="inlineStr">
        <is>
          <t>Colours</t>
        </is>
      </c>
    </row>
    <row r="25">
      <c r="A25" s="2" t="inlineStr">
        <is>
          <t>Blue on light green = an input you can change. Black = a formula. Please don't type over formulas.</t>
        </is>
      </c>
    </row>
    <row r="26">
      <c r="A26" s="2" t="inlineStr"/>
    </row>
    <row r="27">
      <c r="A27" s="4" t="inlineStr">
        <is>
          <t>All numbers are made up to show how the maths works. This is not legal, tax or investment advice.</t>
        </is>
      </c>
    </row>
    <row r="28">
      <c r="A28" s="3" t="inlineStr">
        <is>
          <t>Raising a round and want the cap table checked before investors see it? waveup.com/fundraising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workbookViewId="0">
      <pane ySplit="4" topLeftCell="A5" activePane="bottomLeft" state="frozen"/>
      <selection pane="bottomLeft" activeCell="A1" sqref="A1"/>
    </sheetView>
  </sheetViews>
  <sheetFormatPr baseColWidth="8" defaultRowHeight="15"/>
  <cols>
    <col width="40" customWidth="1" min="1" max="1"/>
    <col width="16" customWidth="1" min="2" max="2"/>
    <col width="28" customWidth="1" min="3" max="3"/>
    <col width="70" customWidth="1" min="4" max="4"/>
  </cols>
  <sheetData>
    <row r="1">
      <c r="A1" s="5" t="inlineStr">
        <is>
          <t>Cap table template: inputs (fictional startup)</t>
        </is>
      </c>
    </row>
    <row r="2">
      <c r="A2" s="6" t="inlineStr">
        <is>
          <t>Blue cells are inputs. Change them and every other sheet updates. You can rename the holders in column A.</t>
        </is>
      </c>
    </row>
    <row r="4">
      <c r="A4" s="7" t="inlineStr">
        <is>
          <t>Input</t>
        </is>
      </c>
      <c r="B4" s="7" t="inlineStr">
        <is>
          <t>Value</t>
        </is>
      </c>
      <c r="C4" s="7" t="inlineStr">
        <is>
          <t>Unit</t>
        </is>
      </c>
      <c r="D4" s="7" t="inlineStr">
        <is>
          <t>What it means</t>
        </is>
      </c>
    </row>
    <row r="5">
      <c r="A5" s="8" t="inlineStr">
        <is>
          <t>Holders at founding</t>
        </is>
      </c>
      <c r="B5" s="9" t="n"/>
      <c r="C5" s="9" t="n"/>
      <c r="D5" s="9" t="n"/>
    </row>
    <row r="6">
      <c r="A6" s="10" t="inlineStr">
        <is>
          <t>Founder 1</t>
        </is>
      </c>
      <c r="B6" s="11" t="n">
        <v>4500000</v>
      </c>
      <c r="C6" t="inlineStr">
        <is>
          <t>common shares</t>
        </is>
      </c>
      <c r="D6" s="6" t="inlineStr">
        <is>
          <t>Rename the holder in column A</t>
        </is>
      </c>
    </row>
    <row r="7">
      <c r="A7" s="10" t="inlineStr">
        <is>
          <t>Founder 2</t>
        </is>
      </c>
      <c r="B7" s="11" t="n">
        <v>4500000</v>
      </c>
      <c r="C7" t="inlineStr">
        <is>
          <t>common shares</t>
        </is>
      </c>
      <c r="D7" s="6" t="inlineStr">
        <is>
          <t>Three founders? Split these lines between you</t>
        </is>
      </c>
    </row>
    <row r="8">
      <c r="A8" s="10" t="inlineStr">
        <is>
          <t>Early staff (options granted)</t>
        </is>
      </c>
      <c r="B8" s="11" t="n">
        <v>400000</v>
      </c>
      <c r="C8" t="inlineStr">
        <is>
          <t>options</t>
        </is>
      </c>
      <c r="D8" s="6" t="inlineStr">
        <is>
          <t>Options already granted to your first hires</t>
        </is>
      </c>
    </row>
    <row r="9">
      <c r="A9" s="10" t="inlineStr">
        <is>
          <t>Option pool (not yet granted)</t>
        </is>
      </c>
      <c r="B9" s="11" t="n">
        <v>600000</v>
      </c>
      <c r="C9" t="inlineStr">
        <is>
          <t>options</t>
        </is>
      </c>
      <c r="D9" s="6" t="inlineStr">
        <is>
          <t>Options set aside for future hires</t>
        </is>
      </c>
    </row>
    <row r="10">
      <c r="A10" s="8" t="inlineStr">
        <is>
          <t>SAFE (converts at the seed round)</t>
        </is>
      </c>
      <c r="B10" s="9" t="n"/>
      <c r="C10" s="9" t="n"/>
      <c r="D10" s="9" t="n"/>
    </row>
    <row r="11">
      <c r="A11" t="inlineStr">
        <is>
          <t>SAFE amount</t>
        </is>
      </c>
      <c r="B11" s="12" t="n">
        <v>1000000</v>
      </c>
      <c r="C11" t="inlineStr">
        <is>
          <t>$</t>
        </is>
      </c>
      <c r="D11" s="6" t="inlineStr">
        <is>
          <t>What the SAFE investor paid</t>
        </is>
      </c>
    </row>
    <row r="12">
      <c r="A12" t="inlineStr">
        <is>
          <t>Post-money valuation cap</t>
        </is>
      </c>
      <c r="B12" s="12" t="n">
        <v>10000000</v>
      </c>
      <c r="C12" t="inlineStr">
        <is>
          <t>$</t>
        </is>
      </c>
      <c r="D12" s="6" t="inlineStr">
        <is>
          <t>The highest valuation the SAFE converts at</t>
        </is>
      </c>
    </row>
    <row r="13">
      <c r="A13" t="inlineStr">
        <is>
          <t>Discount</t>
        </is>
      </c>
      <c r="B13" s="13" t="n">
        <v>0.2</v>
      </c>
      <c r="C13" t="inlineStr">
        <is>
          <t>% off the seed price</t>
        </is>
      </c>
      <c r="D13" s="6" t="inlineStr">
        <is>
          <t>Set to 0% if your SAFE has a cap only</t>
        </is>
      </c>
    </row>
    <row r="14">
      <c r="A14" s="8" t="inlineStr">
        <is>
          <t>Seed round (priced)</t>
        </is>
      </c>
      <c r="B14" s="9" t="n"/>
      <c r="C14" s="9" t="n"/>
      <c r="D14" s="9" t="n"/>
    </row>
    <row r="15">
      <c r="A15" t="inlineStr">
        <is>
          <t>Pre-money valuation</t>
        </is>
      </c>
      <c r="B15" s="12" t="n">
        <v>16000000</v>
      </c>
      <c r="C15" t="inlineStr">
        <is>
          <t>$</t>
        </is>
      </c>
      <c r="D15" s="6" t="inlineStr">
        <is>
          <t>What the term sheet says the company is worth before the new money</t>
        </is>
      </c>
    </row>
    <row r="16">
      <c r="A16" t="inlineStr">
        <is>
          <t>Investment</t>
        </is>
      </c>
      <c r="B16" s="12" t="n">
        <v>4000000</v>
      </c>
      <c r="C16" t="inlineStr">
        <is>
          <t>$</t>
        </is>
      </c>
      <c r="D16" s="6" t="inlineStr">
        <is>
          <t>New money in the seed round</t>
        </is>
      </c>
    </row>
    <row r="17">
      <c r="A17" t="inlineStr">
        <is>
          <t>Unused option pool after the round</t>
        </is>
      </c>
      <c r="B17" s="13" t="n">
        <v>0.1</v>
      </c>
      <c r="C17" t="inlineStr">
        <is>
          <t>% of fully diluted shares</t>
        </is>
      </c>
      <c r="D17" s="6" t="inlineStr">
        <is>
          <t>The term sheet's pool target, topped up before the round</t>
        </is>
      </c>
    </row>
    <row r="18">
      <c r="A18" s="8" t="inlineStr">
        <is>
          <t>Between the seed and the Series A</t>
        </is>
      </c>
      <c r="B18" s="9" t="n"/>
      <c r="C18" s="9" t="n"/>
      <c r="D18" s="9" t="n"/>
    </row>
    <row r="19">
      <c r="A19" t="inlineStr">
        <is>
          <t>Options granted to new hires</t>
        </is>
      </c>
      <c r="B19" s="11" t="n">
        <v>1000000</v>
      </c>
      <c r="C19" t="inlineStr">
        <is>
          <t>options</t>
        </is>
      </c>
      <c r="D19" s="6" t="inlineStr">
        <is>
          <t>Moves options from the unused pool to the new hires line</t>
        </is>
      </c>
    </row>
    <row r="20">
      <c r="A20" s="8" t="inlineStr">
        <is>
          <t>Series A</t>
        </is>
      </c>
      <c r="B20" s="9" t="n"/>
      <c r="C20" s="9" t="n"/>
      <c r="D20" s="9" t="n"/>
    </row>
    <row r="21">
      <c r="A21" t="inlineStr">
        <is>
          <t>Pre-money valuation</t>
        </is>
      </c>
      <c r="B21" s="12" t="n">
        <v>40000000</v>
      </c>
      <c r="C21" t="inlineStr">
        <is>
          <t>$</t>
        </is>
      </c>
      <c r="D21" s="6" t="inlineStr">
        <is>
          <t>What the term sheet says the company is worth before the new money</t>
        </is>
      </c>
    </row>
    <row r="22">
      <c r="A22" t="inlineStr">
        <is>
          <t>Investment</t>
        </is>
      </c>
      <c r="B22" s="12" t="n">
        <v>10000000</v>
      </c>
      <c r="C22" t="inlineStr">
        <is>
          <t>$</t>
        </is>
      </c>
      <c r="D22" s="6" t="inlineStr">
        <is>
          <t>New money in the Series A</t>
        </is>
      </c>
    </row>
    <row r="23">
      <c r="A23" t="inlineStr">
        <is>
          <t>Unused option pool after the round</t>
        </is>
      </c>
      <c r="B23" s="13" t="n">
        <v>0.1</v>
      </c>
      <c r="C23" t="inlineStr">
        <is>
          <t>% of fully diluted shares</t>
        </is>
      </c>
      <c r="D23" s="6" t="inlineStr">
        <is>
          <t>The term sheet's pool target, topped up before the round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1"/>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2" customWidth="1" min="1" max="1"/>
    <col width="18"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5" t="inlineStr">
        <is>
          <t>Cap table: fully diluted, round by round</t>
        </is>
      </c>
    </row>
    <row r="2">
      <c r="A2" s="6" t="inlineStr">
        <is>
          <t>Every number is a formula. Change the blue cells on the Inputs sheet.</t>
        </is>
      </c>
    </row>
    <row r="4">
      <c r="A4" s="7" t="inlineStr">
        <is>
          <t>Holder</t>
        </is>
      </c>
      <c r="B4" s="7" t="inlineStr">
        <is>
          <t>Holds</t>
        </is>
      </c>
      <c r="C4" s="14" t="inlineStr">
        <is>
          <t>At founding</t>
        </is>
      </c>
      <c r="D4" s="15" t="n"/>
      <c r="E4" s="14" t="inlineStr">
        <is>
          <t>Pre-seed: SAFE at its cap</t>
        </is>
      </c>
      <c r="F4" s="15" t="n"/>
      <c r="G4" s="14" t="inlineStr">
        <is>
          <t>After the seed</t>
        </is>
      </c>
      <c r="H4" s="15" t="n"/>
      <c r="I4" s="14" t="inlineStr">
        <is>
          <t>After the Series A</t>
        </is>
      </c>
      <c r="J4" s="15" t="n"/>
    </row>
    <row r="5">
      <c r="A5" s="7" t="inlineStr"/>
      <c r="B5" s="7" t="inlineStr"/>
      <c r="C5" s="16" t="inlineStr">
        <is>
          <t>Shares</t>
        </is>
      </c>
      <c r="D5" s="16" t="inlineStr">
        <is>
          <t>%</t>
        </is>
      </c>
      <c r="E5" s="16" t="inlineStr">
        <is>
          <t>Shares</t>
        </is>
      </c>
      <c r="F5" s="16" t="inlineStr">
        <is>
          <t>%</t>
        </is>
      </c>
      <c r="G5" s="16" t="inlineStr">
        <is>
          <t>Shares</t>
        </is>
      </c>
      <c r="H5" s="16" t="inlineStr">
        <is>
          <t>%</t>
        </is>
      </c>
      <c r="I5" s="16" t="inlineStr">
        <is>
          <t>Shares</t>
        </is>
      </c>
      <c r="J5" s="16" t="inlineStr">
        <is>
          <t>%</t>
        </is>
      </c>
    </row>
    <row r="6">
      <c r="A6" s="17">
        <f>Inputs!$A$6</f>
        <v/>
      </c>
      <c r="B6" s="6" t="inlineStr">
        <is>
          <t>Common</t>
        </is>
      </c>
      <c r="C6" s="18">
        <f>Inputs!$B$6</f>
        <v/>
      </c>
      <c r="D6" s="19">
        <f>C6/C$14</f>
        <v/>
      </c>
      <c r="E6" s="18">
        <f>C6</f>
        <v/>
      </c>
      <c r="F6" s="19">
        <f>E6/E$14</f>
        <v/>
      </c>
      <c r="G6" s="18">
        <f>C6</f>
        <v/>
      </c>
      <c r="H6" s="19">
        <f>G6/G$14</f>
        <v/>
      </c>
      <c r="I6" s="18">
        <f>C6</f>
        <v/>
      </c>
      <c r="J6" s="19">
        <f>I6/I$14</f>
        <v/>
      </c>
    </row>
    <row r="7">
      <c r="A7" s="17">
        <f>Inputs!$A$7</f>
        <v/>
      </c>
      <c r="B7" s="6" t="inlineStr">
        <is>
          <t>Common</t>
        </is>
      </c>
      <c r="C7" s="18">
        <f>Inputs!$B$7</f>
        <v/>
      </c>
      <c r="D7" s="19">
        <f>C7/C$14</f>
        <v/>
      </c>
      <c r="E7" s="18">
        <f>C7</f>
        <v/>
      </c>
      <c r="F7" s="19">
        <f>E7/E$14</f>
        <v/>
      </c>
      <c r="G7" s="18">
        <f>C7</f>
        <v/>
      </c>
      <c r="H7" s="19">
        <f>G7/G$14</f>
        <v/>
      </c>
      <c r="I7" s="18">
        <f>C7</f>
        <v/>
      </c>
      <c r="J7" s="19">
        <f>I7/I$14</f>
        <v/>
      </c>
    </row>
    <row r="8">
      <c r="A8" s="20">
        <f>Inputs!$A$8</f>
        <v/>
      </c>
      <c r="B8" s="6" t="inlineStr">
        <is>
          <t>Options</t>
        </is>
      </c>
      <c r="C8" s="18">
        <f>Inputs!$B$8</f>
        <v/>
      </c>
      <c r="D8" s="19">
        <f>C8/C$14</f>
        <v/>
      </c>
      <c r="E8" s="18">
        <f>C8</f>
        <v/>
      </c>
      <c r="F8" s="19">
        <f>E8/E$14</f>
        <v/>
      </c>
      <c r="G8" s="18">
        <f>C8</f>
        <v/>
      </c>
      <c r="H8" s="19">
        <f>G8/G$14</f>
        <v/>
      </c>
      <c r="I8" s="18">
        <f>C8</f>
        <v/>
      </c>
      <c r="J8" s="19">
        <f>I8/I$14</f>
        <v/>
      </c>
    </row>
    <row r="9">
      <c r="A9" s="20" t="inlineStr">
        <is>
          <t>New hires (options granted after the seed)</t>
        </is>
      </c>
      <c r="B9" s="6" t="inlineStr">
        <is>
          <t>Options</t>
        </is>
      </c>
      <c r="C9" s="18">
        <f>0</f>
        <v/>
      </c>
      <c r="D9" s="19">
        <f>C9/C$14</f>
        <v/>
      </c>
      <c r="E9" s="18">
        <f>0</f>
        <v/>
      </c>
      <c r="F9" s="19">
        <f>E9/E$14</f>
        <v/>
      </c>
      <c r="G9" s="18">
        <f>0</f>
        <v/>
      </c>
      <c r="H9" s="19">
        <f>G9/G$14</f>
        <v/>
      </c>
      <c r="I9" s="18">
        <f>'Round maths'!$C$36</f>
        <v/>
      </c>
      <c r="J9" s="19">
        <f>I9/I$14</f>
        <v/>
      </c>
    </row>
    <row r="10">
      <c r="A10" s="20">
        <f>Inputs!$A$9</f>
        <v/>
      </c>
      <c r="B10" s="6" t="inlineStr">
        <is>
          <t>Options</t>
        </is>
      </c>
      <c r="C10" s="18">
        <f>Inputs!$B$9</f>
        <v/>
      </c>
      <c r="D10" s="19">
        <f>C10/C$14</f>
        <v/>
      </c>
      <c r="E10" s="18">
        <f>C10</f>
        <v/>
      </c>
      <c r="F10" s="19">
        <f>E10/E$14</f>
        <v/>
      </c>
      <c r="G10" s="18">
        <f>'Round maths'!$C$35</f>
        <v/>
      </c>
      <c r="H10" s="19">
        <f>G10/G$14</f>
        <v/>
      </c>
      <c r="I10" s="18">
        <f>'Round maths'!$C$37+'Round maths'!$C$40</f>
        <v/>
      </c>
      <c r="J10" s="19">
        <f>I10/I$14</f>
        <v/>
      </c>
    </row>
    <row r="11">
      <c r="A11" s="20" t="inlineStr">
        <is>
          <t>SAFE investor</t>
        </is>
      </c>
      <c r="B11" s="6" t="inlineStr">
        <is>
          <t>Seed preferred</t>
        </is>
      </c>
      <c r="C11" s="18">
        <f>0</f>
        <v/>
      </c>
      <c r="D11" s="19">
        <f>C11/C$14</f>
        <v/>
      </c>
      <c r="E11" s="18">
        <f>'Round maths'!$C$9</f>
        <v/>
      </c>
      <c r="F11" s="19">
        <f>E11/E$14</f>
        <v/>
      </c>
      <c r="G11" s="18">
        <f>'Round maths'!$C$25</f>
        <v/>
      </c>
      <c r="H11" s="19">
        <f>G11/G$14</f>
        <v/>
      </c>
      <c r="I11" s="18">
        <f>G11</f>
        <v/>
      </c>
      <c r="J11" s="19">
        <f>I11/I$14</f>
        <v/>
      </c>
    </row>
    <row r="12">
      <c r="A12" s="20" t="inlineStr">
        <is>
          <t>Seed investors</t>
        </is>
      </c>
      <c r="B12" s="6" t="inlineStr">
        <is>
          <t>Seed preferred</t>
        </is>
      </c>
      <c r="C12" s="18">
        <f>0</f>
        <v/>
      </c>
      <c r="D12" s="19">
        <f>C12/C$14</f>
        <v/>
      </c>
      <c r="E12" s="18">
        <f>0</f>
        <v/>
      </c>
      <c r="F12" s="19">
        <f>E12/E$14</f>
        <v/>
      </c>
      <c r="G12" s="18">
        <f>'Round maths'!$C$30</f>
        <v/>
      </c>
      <c r="H12" s="19">
        <f>G12/G$14</f>
        <v/>
      </c>
      <c r="I12" s="18">
        <f>G12</f>
        <v/>
      </c>
      <c r="J12" s="19">
        <f>I12/I$14</f>
        <v/>
      </c>
    </row>
    <row r="13">
      <c r="A13" s="20" t="inlineStr">
        <is>
          <t>Series A investors</t>
        </is>
      </c>
      <c r="B13" s="6" t="inlineStr">
        <is>
          <t>Series A preferred</t>
        </is>
      </c>
      <c r="C13" s="18">
        <f>0</f>
        <v/>
      </c>
      <c r="D13" s="19">
        <f>C13/C$14</f>
        <v/>
      </c>
      <c r="E13" s="18">
        <f>0</f>
        <v/>
      </c>
      <c r="F13" s="19">
        <f>E13/E$14</f>
        <v/>
      </c>
      <c r="G13" s="18">
        <f>0</f>
        <v/>
      </c>
      <c r="H13" s="19">
        <f>G13/G$14</f>
        <v/>
      </c>
      <c r="I13" s="18">
        <f>'Round maths'!$C$43</f>
        <v/>
      </c>
      <c r="J13" s="19">
        <f>I13/I$14</f>
        <v/>
      </c>
    </row>
    <row r="14">
      <c r="A14" s="21" t="inlineStr">
        <is>
          <t>Total, fully diluted</t>
        </is>
      </c>
      <c r="B14" s="22" t="n"/>
      <c r="C14" s="23">
        <f>SUM(C6:C13)</f>
        <v/>
      </c>
      <c r="D14" s="24">
        <f>SUM(D6:D13)</f>
        <v/>
      </c>
      <c r="E14" s="23">
        <f>SUM(E6:E13)</f>
        <v/>
      </c>
      <c r="F14" s="24">
        <f>SUM(F6:F13)</f>
        <v/>
      </c>
      <c r="G14" s="23">
        <f>SUM(G6:G13)</f>
        <v/>
      </c>
      <c r="H14" s="24">
        <f>SUM(H6:H13)</f>
        <v/>
      </c>
      <c r="I14" s="23">
        <f>SUM(I6:I13)</f>
        <v/>
      </c>
      <c r="J14" s="24">
        <f>SUM(J6:J13)</f>
        <v/>
      </c>
    </row>
    <row r="16">
      <c r="A16" s="17" t="inlineStr">
        <is>
          <t>Founders combined</t>
        </is>
      </c>
      <c r="D16" s="25">
        <f>D6+D7</f>
        <v/>
      </c>
      <c r="F16" s="25">
        <f>F6+F7</f>
        <v/>
      </c>
      <c r="H16" s="25">
        <f>H6+H7</f>
        <v/>
      </c>
      <c r="J16" s="25">
        <f>J6+J7</f>
        <v/>
      </c>
    </row>
    <row r="17">
      <c r="A17" s="17" t="inlineStr">
        <is>
          <t>Option pool, granted and unused</t>
        </is>
      </c>
      <c r="D17" s="25">
        <f>D8+D9+D10</f>
        <v/>
      </c>
      <c r="F17" s="25">
        <f>F8+F9+F10</f>
        <v/>
      </c>
      <c r="H17" s="25">
        <f>H8+H9+H10</f>
        <v/>
      </c>
      <c r="J17" s="25">
        <f>J8+J9+J10</f>
        <v/>
      </c>
    </row>
    <row r="18">
      <c r="A18" s="17" t="inlineStr">
        <is>
          <t>Price per share</t>
        </is>
      </c>
      <c r="B18" s="6" t="inlineStr">
        <is>
          <t>at the SAFE cap, then each round</t>
        </is>
      </c>
      <c r="C18" s="26">
        <f>0</f>
        <v/>
      </c>
      <c r="E18" s="26">
        <f>'Round maths'!$C$8</f>
        <v/>
      </c>
      <c r="G18" s="26">
        <f>'Round maths'!$C$28</f>
        <v/>
      </c>
      <c r="I18" s="26">
        <f>'Round maths'!$C$42</f>
        <v/>
      </c>
    </row>
    <row r="19">
      <c r="A19" s="17" t="inlineStr">
        <is>
          <t>Post-money valuation (price × shares)</t>
        </is>
      </c>
      <c r="C19" s="27">
        <f>0</f>
        <v/>
      </c>
      <c r="E19" s="27">
        <f>E18*E14</f>
        <v/>
      </c>
      <c r="G19" s="27">
        <f>G18*G14</f>
        <v/>
      </c>
      <c r="I19" s="27">
        <f>I18*I14</f>
        <v/>
      </c>
    </row>
    <row r="20">
      <c r="A20" s="17" t="inlineStr">
        <is>
          <t>New money in</t>
        </is>
      </c>
      <c r="C20" s="27">
        <f>0</f>
        <v/>
      </c>
      <c r="E20" s="27">
        <f>Inputs!$B$11</f>
        <v/>
      </c>
      <c r="G20" s="27">
        <f>Inputs!$B$16</f>
        <v/>
      </c>
      <c r="I20" s="27">
        <f>Inputs!$B$22</f>
        <v/>
      </c>
    </row>
    <row r="22">
      <c r="A22" s="17" t="inlineStr">
        <is>
          <t>The SAFE converts at</t>
        </is>
      </c>
      <c r="C22" s="17">
        <f>'Round maths'!$C$17</f>
        <v/>
      </c>
      <c r="E22" s="28">
        <f>'Round maths'!$C$29</f>
        <v/>
      </c>
      <c r="F22" s="6" t="inlineStr">
        <is>
          <t>a share</t>
        </is>
      </c>
    </row>
    <row r="24">
      <c r="A24" s="8" t="inlineStr">
        <is>
          <t>Checks: every line should say OK</t>
        </is>
      </c>
      <c r="B24" s="9" t="n"/>
      <c r="C24" s="9" t="n"/>
      <c r="D24" s="9" t="n"/>
      <c r="E24" s="9" t="n"/>
      <c r="F24" s="9" t="n"/>
      <c r="G24" s="9" t="n"/>
      <c r="H24" s="9" t="n"/>
      <c r="I24" s="9" t="n"/>
      <c r="J24" s="9" t="n"/>
    </row>
    <row r="25">
      <c r="A25" t="inlineStr">
        <is>
          <t>Each column adds up to 100%</t>
        </is>
      </c>
      <c r="C25" s="17">
        <f>IF(AND(ROUND(D14,6)=1,ROUND(F14,6)=1,ROUND(H14,6)=1,ROUND(J14,6)=1),"OK","Check the cap table")</f>
        <v/>
      </c>
    </row>
    <row r="26">
      <c r="A26" t="inlineStr">
        <is>
          <t>SAFE owns SAFE amount ÷ cap just before the seed</t>
        </is>
      </c>
      <c r="C26" s="17">
        <f>IF(ABS(F11-Inputs!$B$11/Inputs!$B$12)&lt;0.0001,"OK","Check the SAFE")</f>
        <v/>
      </c>
    </row>
    <row r="27">
      <c r="A27" t="inlineStr">
        <is>
          <t>Seed investors own investment ÷ post-money</t>
        </is>
      </c>
      <c r="C27" s="17">
        <f>IF(ABS(H12-Inputs!$B$16/(Inputs!$B$15+Inputs!$B$16))&lt;0.0001,"OK","Check the seed round")</f>
        <v/>
      </c>
    </row>
    <row r="28">
      <c r="A28" t="inlineStr">
        <is>
          <t>Unused pool after the seed hits its target</t>
        </is>
      </c>
      <c r="C28" s="17">
        <f>IF(ABS(H10-Inputs!$B$17)&lt;0.0001,"OK",IF(AND('Round maths'!$C$26=0,H10&gt;Inputs!$B$17),"OK: the pool was already big enough","Check the seed pool"))</f>
        <v/>
      </c>
    </row>
    <row r="29">
      <c r="A29" t="inlineStr">
        <is>
          <t>Options granted fit in the unused pool</t>
        </is>
      </c>
      <c r="C29" s="17">
        <f>IF(Inputs!$B$19&lt;='Round maths'!$C$35,"OK","Too many options granted")</f>
        <v/>
      </c>
    </row>
    <row r="30">
      <c r="A30" t="inlineStr">
        <is>
          <t>Series A investors own investment ÷ post-money</t>
        </is>
      </c>
      <c r="C30" s="17">
        <f>IF(ABS(J13-Inputs!$B$22/(Inputs!$B$21+Inputs!$B$22))&lt;0.0001,"OK","Check the Series A")</f>
        <v/>
      </c>
    </row>
    <row r="31">
      <c r="A31" t="inlineStr">
        <is>
          <t>Unused pool after the Series A hits its target</t>
        </is>
      </c>
      <c r="C31" s="17">
        <f>IF(ABS(J10-Inputs!$B$23)&lt;0.0001,"OK",IF(AND('Round maths'!$C$40=0,J10&gt;Inputs!$B$23),"OK: the pool was already big enough","Check the Series A pool"))</f>
        <v/>
      </c>
    </row>
  </sheetData>
  <mergeCells count="4">
    <mergeCell ref="G4:H4"/>
    <mergeCell ref="E4:F4"/>
    <mergeCell ref="I4:J4"/>
    <mergeCell ref="C4:D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5"/>
  <sheetViews>
    <sheetView workbookViewId="0">
      <pane ySplit="4" topLeftCell="A5" activePane="bottomLeft" state="frozen"/>
      <selection pane="bottomLeft" activeCell="A1" sqref="A1"/>
    </sheetView>
  </sheetViews>
  <sheetFormatPr baseColWidth="8" defaultRowHeight="15"/>
  <cols>
    <col width="6" customWidth="1" min="1" max="1"/>
    <col width="60" customWidth="1" min="2" max="2"/>
    <col width="18" customWidth="1" min="3" max="3"/>
    <col width="100" customWidth="1" min="4" max="4"/>
  </cols>
  <sheetData>
    <row r="1">
      <c r="A1" s="5" t="inlineStr">
        <is>
          <t>Round maths: how each number is calculated</t>
        </is>
      </c>
    </row>
    <row r="2">
      <c r="A2" s="6" t="inlineStr">
        <is>
          <t>Every number is a formula. Change the inputs on the Inputs sheet.</t>
        </is>
      </c>
    </row>
    <row r="4">
      <c r="A4" s="7" t="inlineStr">
        <is>
          <t>Line</t>
        </is>
      </c>
      <c r="B4" s="7" t="inlineStr">
        <is>
          <t>Step</t>
        </is>
      </c>
      <c r="C4" s="7" t="inlineStr">
        <is>
          <t>Value</t>
        </is>
      </c>
      <c r="D4" s="7" t="inlineStr">
        <is>
          <t>How it is calculated</t>
        </is>
      </c>
    </row>
    <row r="5">
      <c r="A5" s="9" t="n"/>
      <c r="B5" s="8" t="inlineStr">
        <is>
          <t>The SAFE and the seed round</t>
        </is>
      </c>
      <c r="C5" s="9" t="n"/>
      <c r="D5" s="9" t="n"/>
    </row>
    <row r="6">
      <c r="A6" s="29" t="n">
        <v>1</v>
      </c>
      <c r="B6" s="20" t="inlineStr">
        <is>
          <t>Fully diluted shares before the seed</t>
        </is>
      </c>
      <c r="C6" s="30">
        <f>Inputs!$B$6+Inputs!$B$7+Inputs!$B$8+Inputs!$B$9</f>
        <v/>
      </c>
      <c r="D6" s="6" t="inlineStr">
        <is>
          <t>Founders + early staff options + unused pool</t>
        </is>
      </c>
    </row>
    <row r="7">
      <c r="A7" s="29" t="n">
        <v>2</v>
      </c>
      <c r="B7" s="20" t="inlineStr">
        <is>
          <t>Unused option pool before the seed</t>
        </is>
      </c>
      <c r="C7" s="30">
        <f>Inputs!$B$9</f>
        <v/>
      </c>
      <c r="D7" s="6" t="inlineStr">
        <is>
          <t>From the Inputs</t>
        </is>
      </c>
    </row>
    <row r="8">
      <c r="A8" s="29" t="n">
        <v>3</v>
      </c>
      <c r="B8" s="20" t="inlineStr">
        <is>
          <t>SAFE price at the cap</t>
        </is>
      </c>
      <c r="C8" s="31">
        <f>(Inputs!$B$12-Inputs!$B$11)/$C$6</f>
        <v/>
      </c>
      <c r="D8" s="6" t="inlineStr">
        <is>
          <t>(cap − SAFE amount) ÷ line 1. The same as YC's cap ÷ company capitalisation, solved directly</t>
        </is>
      </c>
    </row>
    <row r="9">
      <c r="A9" s="29" t="n">
        <v>4</v>
      </c>
      <c r="B9" s="20" t="inlineStr">
        <is>
          <t>SAFE shares at the cap</t>
        </is>
      </c>
      <c r="C9" s="30">
        <f>ROUNDDOWN(Inputs!$B$11/$C$8,0)</f>
        <v/>
      </c>
      <c r="D9" s="6" t="inlineStr">
        <is>
          <t>SAFE amount ÷ line 3, rounded down to whole shares</t>
        </is>
      </c>
    </row>
    <row r="10">
      <c r="A10" s="29" t="n">
        <v>5</v>
      </c>
      <c r="B10" s="20" t="inlineStr">
        <is>
          <t>SAFE ownership just before the seed, at the cap</t>
        </is>
      </c>
      <c r="C10" s="32">
        <f>$C$9/($C$6+$C$9)</f>
        <v/>
      </c>
      <c r="D10" s="6" t="inlineStr">
        <is>
          <t>Line 4 ÷ (line 1 + line 4). Equals SAFE amount ÷ cap</t>
        </is>
      </c>
    </row>
    <row r="11">
      <c r="A11" s="29" t="n">
        <v>6</v>
      </c>
      <c r="B11" s="20" t="inlineStr">
        <is>
          <t>Post-money ÷ pre-money</t>
        </is>
      </c>
      <c r="C11" s="33">
        <f>(Inputs!$B$15+Inputs!$B$16)/Inputs!$B$15</f>
        <v/>
      </c>
      <c r="D11" s="6" t="inlineStr">
        <is>
          <t>(pre-money + investment) ÷ pre-money</t>
        </is>
      </c>
    </row>
    <row r="12">
      <c r="A12" s="29" t="n">
        <v>7</v>
      </c>
      <c r="B12" s="20" t="inlineStr">
        <is>
          <t>Pool target × line 6</t>
        </is>
      </c>
      <c r="C12" s="33">
        <f>Inputs!$B$17*$C$11</f>
        <v/>
      </c>
      <c r="D12" s="6" t="inlineStr">
        <is>
          <t>A helper for the pool top-up</t>
        </is>
      </c>
    </row>
    <row r="13">
      <c r="A13" s="9" t="n"/>
      <c r="B13" s="8" t="inlineStr">
        <is>
          <t>If the SAFE converts at its cap</t>
        </is>
      </c>
      <c r="C13" s="9" t="n"/>
      <c r="D13" s="9" t="n"/>
    </row>
    <row r="14">
      <c r="A14" s="29" t="n">
        <v>8</v>
      </c>
      <c r="B14" s="20" t="inlineStr">
        <is>
          <t>Pool top-up</t>
        </is>
      </c>
      <c r="C14" s="30">
        <f>MAX(0,ROUND(($C$12*($C$6+$C$9)-$C$7)/(1-$C$12),0))</f>
        <v/>
      </c>
      <c r="D14" s="6" t="inlineStr">
        <is>
          <t>Options added so the unused pool hits its target after the round: (line 7 × (line 1 + line 4) − line 2) ÷ (1 − line 7)</t>
        </is>
      </c>
    </row>
    <row r="15">
      <c r="A15" s="29" t="n">
        <v>9</v>
      </c>
      <c r="B15" s="20" t="inlineStr">
        <is>
          <t>Seed price per share</t>
        </is>
      </c>
      <c r="C15" s="31">
        <f>Inputs!$B$15/($C$6+$C$9+$C$14)</f>
        <v/>
      </c>
      <c r="D15" s="6" t="inlineStr">
        <is>
          <t>Pre-money ÷ (line 1 + line 4 + line 8)</t>
        </is>
      </c>
    </row>
    <row r="16">
      <c r="A16" s="29" t="n">
        <v>10</v>
      </c>
      <c r="B16" s="20" t="inlineStr">
        <is>
          <t>Discount price</t>
        </is>
      </c>
      <c r="C16" s="31">
        <f>$C$15*(1-Inputs!$B$13)</f>
        <v/>
      </c>
      <c r="D16" s="6" t="inlineStr">
        <is>
          <t>Line 9 × (1 − discount)</t>
        </is>
      </c>
    </row>
    <row r="17">
      <c r="A17" s="29" t="n">
        <v>11</v>
      </c>
      <c r="B17" s="17" t="inlineStr">
        <is>
          <t>The SAFE converts at</t>
        </is>
      </c>
      <c r="C17" s="34">
        <f>IF(Inputs!$B$11=0,"no SAFE",IF($C$16&lt;$C$8,"the discount","the cap"))</f>
        <v/>
      </c>
      <c r="D17" s="6" t="inlineStr">
        <is>
          <t>The lower price gives the SAFE more shares, so it wins</t>
        </is>
      </c>
    </row>
    <row r="18">
      <c r="A18" s="9" t="n"/>
      <c r="B18" s="8" t="inlineStr">
        <is>
          <t>If the SAFE converts at the discount (used only when line 11 says so)</t>
        </is>
      </c>
      <c r="C18" s="9" t="n"/>
      <c r="D18" s="9" t="n"/>
    </row>
    <row r="19">
      <c r="A19" s="29" t="n">
        <v>12</v>
      </c>
      <c r="B19" s="20" t="inlineStr">
        <is>
          <t>SAFE amount ÷ discounted pre-money</t>
        </is>
      </c>
      <c r="C19" s="33">
        <f>Inputs!$B$11/((1-Inputs!$B$13)*Inputs!$B$15)</f>
        <v/>
      </c>
      <c r="D19" s="6" t="inlineStr">
        <is>
          <t>SAFE amount ÷ ((1 − discount) × pre-money)</t>
        </is>
      </c>
    </row>
    <row r="20">
      <c r="A20" s="29" t="n">
        <v>13</v>
      </c>
      <c r="B20" s="20" t="inlineStr">
        <is>
          <t>Fully diluted shares before the new money</t>
        </is>
      </c>
      <c r="C20" s="30">
        <f>IF($C$12*($C$6-$C$7)/(1-$C$19-$C$12)&gt;$C$7,($C$6-$C$7)/(1-$C$19-$C$12),$C$6/(1-$C$19))</f>
        <v/>
      </c>
      <c r="D20" s="6" t="inlineStr">
        <is>
          <t>Solved directly, because the SAFE shares and the price depend on each other</t>
        </is>
      </c>
    </row>
    <row r="21">
      <c r="A21" s="29" t="n">
        <v>14</v>
      </c>
      <c r="B21" s="20" t="inlineStr">
        <is>
          <t>Seed price per share</t>
        </is>
      </c>
      <c r="C21" s="31">
        <f>Inputs!$B$15/$C$20</f>
        <v/>
      </c>
      <c r="D21" s="6" t="inlineStr">
        <is>
          <t>Pre-money ÷ line 13</t>
        </is>
      </c>
    </row>
    <row r="22">
      <c r="A22" s="29" t="n">
        <v>15</v>
      </c>
      <c r="B22" s="20" t="inlineStr">
        <is>
          <t>SAFE shares</t>
        </is>
      </c>
      <c r="C22" s="30">
        <f>ROUNDDOWN(Inputs!$B$11/($C$21*(1-Inputs!$B$13)),0)</f>
        <v/>
      </c>
      <c r="D22" s="6" t="inlineStr">
        <is>
          <t>SAFE amount ÷ (line 14 × (1 − discount)), rounded down</t>
        </is>
      </c>
    </row>
    <row r="23">
      <c r="A23" s="29" t="n">
        <v>16</v>
      </c>
      <c r="B23" s="20" t="inlineStr">
        <is>
          <t>Pool top-up</t>
        </is>
      </c>
      <c r="C23" s="30">
        <f>MAX(0,ROUND($C$12*$C$20-$C$7,0))</f>
        <v/>
      </c>
      <c r="D23" s="6" t="inlineStr">
        <is>
          <t>Line 7 × line 13 − line 2, and never below zero</t>
        </is>
      </c>
    </row>
    <row r="24">
      <c r="A24" s="9" t="n"/>
      <c r="B24" s="8" t="inlineStr">
        <is>
          <t>Result: the seed round</t>
        </is>
      </c>
      <c r="C24" s="9" t="n"/>
      <c r="D24" s="9" t="n"/>
    </row>
    <row r="25">
      <c r="A25" s="29" t="n">
        <v>17</v>
      </c>
      <c r="B25" s="17" t="inlineStr">
        <is>
          <t>SAFE shares</t>
        </is>
      </c>
      <c r="C25" s="35">
        <f>IF($C$17="the discount",$C$22,$C$9)</f>
        <v/>
      </c>
      <c r="D25" s="6" t="inlineStr">
        <is>
          <t>Line 4 or line 15, depending on line 11</t>
        </is>
      </c>
    </row>
    <row r="26">
      <c r="A26" s="29" t="n">
        <v>18</v>
      </c>
      <c r="B26" s="17" t="inlineStr">
        <is>
          <t>Pool top-up</t>
        </is>
      </c>
      <c r="C26" s="35">
        <f>IF($C$17="the discount",$C$23,$C$14)</f>
        <v/>
      </c>
      <c r="D26" s="6" t="inlineStr">
        <is>
          <t>Line 8 or line 16, depending on line 11</t>
        </is>
      </c>
    </row>
    <row r="27">
      <c r="A27" s="29" t="n">
        <v>19</v>
      </c>
      <c r="B27" s="20" t="inlineStr">
        <is>
          <t>Fully diluted shares before the new money</t>
        </is>
      </c>
      <c r="C27" s="30">
        <f>$C$6+$C$25+$C$26</f>
        <v/>
      </c>
      <c r="D27" s="6" t="inlineStr">
        <is>
          <t>Line 1 + line 17 + line 18</t>
        </is>
      </c>
    </row>
    <row r="28">
      <c r="A28" s="29" t="n">
        <v>20</v>
      </c>
      <c r="B28" s="17" t="inlineStr">
        <is>
          <t>Seed price per share</t>
        </is>
      </c>
      <c r="C28" s="36">
        <f>Inputs!$B$15/$C$27</f>
        <v/>
      </c>
      <c r="D28" s="6" t="inlineStr">
        <is>
          <t>Pre-money ÷ line 19</t>
        </is>
      </c>
    </row>
    <row r="29">
      <c r="A29" s="29" t="n">
        <v>21</v>
      </c>
      <c r="B29" s="20" t="inlineStr">
        <is>
          <t>SAFE conversion price</t>
        </is>
      </c>
      <c r="C29" s="31">
        <f>IF(Inputs!$B$11=0,0,IF($C$17="the discount",$C$28*(1-Inputs!$B$13),$C$8))</f>
        <v/>
      </c>
      <c r="D29" s="6" t="inlineStr">
        <is>
          <t>Line 3 at the cap, or line 20 × (1 − discount) at the discount</t>
        </is>
      </c>
    </row>
    <row r="30">
      <c r="A30" s="29" t="n">
        <v>22</v>
      </c>
      <c r="B30" s="17" t="inlineStr">
        <is>
          <t>New shares for the seed investors</t>
        </is>
      </c>
      <c r="C30" s="35">
        <f>ROUNDDOWN(Inputs!$B$16/$C$28,0)</f>
        <v/>
      </c>
      <c r="D30" s="6" t="inlineStr">
        <is>
          <t>Investment ÷ line 20, rounded down</t>
        </is>
      </c>
    </row>
    <row r="31">
      <c r="A31" s="29" t="n">
        <v>23</v>
      </c>
      <c r="B31" s="20" t="inlineStr">
        <is>
          <t>Fully diluted shares after the seed</t>
        </is>
      </c>
      <c r="C31" s="30">
        <f>$C$27+$C$30</f>
        <v/>
      </c>
      <c r="D31" s="6" t="inlineStr">
        <is>
          <t>Line 19 + line 22</t>
        </is>
      </c>
    </row>
    <row r="32">
      <c r="A32" s="29" t="n">
        <v>24</v>
      </c>
      <c r="B32" s="20" t="inlineStr">
        <is>
          <t>Post-money valuation check</t>
        </is>
      </c>
      <c r="C32" s="37">
        <f>$C$28*$C$31</f>
        <v/>
      </c>
      <c r="D32" s="6" t="inlineStr">
        <is>
          <t>Line 20 × line 23. Should equal pre-money + investment (whole shares can leave it a few dollars short)</t>
        </is>
      </c>
    </row>
    <row r="33">
      <c r="A33" s="9" t="n"/>
      <c r="B33" s="8" t="inlineStr">
        <is>
          <t>The Series A</t>
        </is>
      </c>
      <c r="C33" s="9" t="n"/>
      <c r="D33" s="9" t="n"/>
    </row>
    <row r="34">
      <c r="A34" s="29" t="n">
        <v>25</v>
      </c>
      <c r="B34" s="20" t="inlineStr">
        <is>
          <t>Fully diluted shares after the seed</t>
        </is>
      </c>
      <c r="C34" s="30">
        <f>$C$31</f>
        <v/>
      </c>
      <c r="D34" s="6" t="inlineStr">
        <is>
          <t>Line 23</t>
        </is>
      </c>
    </row>
    <row r="35">
      <c r="A35" s="29" t="n">
        <v>26</v>
      </c>
      <c r="B35" s="20" t="inlineStr">
        <is>
          <t>Unused option pool after the seed</t>
        </is>
      </c>
      <c r="C35" s="30">
        <f>$C$7+$C$26</f>
        <v/>
      </c>
      <c r="D35" s="6" t="inlineStr">
        <is>
          <t>Line 2 + line 18</t>
        </is>
      </c>
    </row>
    <row r="36">
      <c r="A36" s="29" t="n">
        <v>27</v>
      </c>
      <c r="B36" s="20" t="inlineStr">
        <is>
          <t>Options granted to new hires</t>
        </is>
      </c>
      <c r="C36" s="30">
        <f>Inputs!$B$19</f>
        <v/>
      </c>
      <c r="D36" s="6" t="inlineStr">
        <is>
          <t>From the Inputs</t>
        </is>
      </c>
    </row>
    <row r="37">
      <c r="A37" s="29" t="n">
        <v>28</v>
      </c>
      <c r="B37" s="20" t="inlineStr">
        <is>
          <t>Unused option pool before the Series A</t>
        </is>
      </c>
      <c r="C37" s="30">
        <f>$C$35-$C$36</f>
        <v/>
      </c>
      <c r="D37" s="6" t="inlineStr">
        <is>
          <t>Line 26 − line 27</t>
        </is>
      </c>
    </row>
    <row r="38">
      <c r="A38" s="29" t="n">
        <v>29</v>
      </c>
      <c r="B38" s="20" t="inlineStr">
        <is>
          <t>Post-money ÷ pre-money</t>
        </is>
      </c>
      <c r="C38" s="33">
        <f>(Inputs!$B$21+Inputs!$B$22)/Inputs!$B$21</f>
        <v/>
      </c>
      <c r="D38" s="6" t="inlineStr">
        <is>
          <t>(pre-money + investment) ÷ pre-money</t>
        </is>
      </c>
    </row>
    <row r="39">
      <c r="A39" s="29" t="n">
        <v>30</v>
      </c>
      <c r="B39" s="20" t="inlineStr">
        <is>
          <t>Pool target × line 29</t>
        </is>
      </c>
      <c r="C39" s="33">
        <f>Inputs!$B$23*$C$38</f>
        <v/>
      </c>
      <c r="D39" s="6" t="inlineStr">
        <is>
          <t>A helper for the pool top-up</t>
        </is>
      </c>
    </row>
    <row r="40">
      <c r="A40" s="29" t="n">
        <v>31</v>
      </c>
      <c r="B40" s="17" t="inlineStr">
        <is>
          <t>Pool top-up</t>
        </is>
      </c>
      <c r="C40" s="35">
        <f>MAX(0,ROUND(($C$39*$C$34-$C$37)/(1-$C$39),0))</f>
        <v/>
      </c>
      <c r="D40" s="6" t="inlineStr">
        <is>
          <t>(line 30 × line 25 − line 28) ÷ (1 − line 30), and never below zero</t>
        </is>
      </c>
    </row>
    <row r="41">
      <c r="A41" s="29" t="n">
        <v>32</v>
      </c>
      <c r="B41" s="20" t="inlineStr">
        <is>
          <t>Fully diluted shares before the new money</t>
        </is>
      </c>
      <c r="C41" s="30">
        <f>$C$34+$C$40</f>
        <v/>
      </c>
      <c r="D41" s="6" t="inlineStr">
        <is>
          <t>Line 25 + line 31</t>
        </is>
      </c>
    </row>
    <row r="42">
      <c r="A42" s="29" t="n">
        <v>33</v>
      </c>
      <c r="B42" s="17" t="inlineStr">
        <is>
          <t>Series A price per share</t>
        </is>
      </c>
      <c r="C42" s="36">
        <f>Inputs!$B$21/$C$41</f>
        <v/>
      </c>
      <c r="D42" s="6" t="inlineStr">
        <is>
          <t>Pre-money ÷ line 32</t>
        </is>
      </c>
    </row>
    <row r="43">
      <c r="A43" s="29" t="n">
        <v>34</v>
      </c>
      <c r="B43" s="17" t="inlineStr">
        <is>
          <t>New shares for the Series A investors</t>
        </is>
      </c>
      <c r="C43" s="35">
        <f>ROUNDDOWN(Inputs!$B$22/$C$42,0)</f>
        <v/>
      </c>
      <c r="D43" s="6" t="inlineStr">
        <is>
          <t>Investment ÷ line 33, rounded down</t>
        </is>
      </c>
    </row>
    <row r="44">
      <c r="A44" s="29" t="n">
        <v>35</v>
      </c>
      <c r="B44" s="20" t="inlineStr">
        <is>
          <t>Fully diluted shares after the Series A</t>
        </is>
      </c>
      <c r="C44" s="30">
        <f>$C$41+$C$43</f>
        <v/>
      </c>
      <c r="D44" s="6" t="inlineStr">
        <is>
          <t>Line 32 + line 34</t>
        </is>
      </c>
    </row>
    <row r="45">
      <c r="A45" s="29" t="n">
        <v>36</v>
      </c>
      <c r="B45" s="20" t="inlineStr">
        <is>
          <t>Post-money valuation check</t>
        </is>
      </c>
      <c r="C45" s="37">
        <f>$C$42*$C$44</f>
        <v/>
      </c>
      <c r="D45" s="6" t="inlineStr">
        <is>
          <t>Line 33 × line 35. Should equal pre-money + investment (whole shares can leave it a few dollars short)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Waveup</dc:creator>
  <dc:title xmlns:dc="http://purl.org/dc/elements/1.1/">Cap table template: founding to Series A (fictional startup)</dc:title>
  <dcterms:created xmlns:dcterms="http://purl.org/dc/terms/" xmlns:xsi="http://www.w3.org/2001/XMLSchema-instance" xsi:type="dcterms:W3CDTF">2026-10-17T19:45:00Z</dcterms:created>
  <dcterms:modified xmlns:dcterms="http://purl.org/dc/terms/" xmlns:xsi="http://www.w3.org/2001/XMLSchema-instance" xsi:type="dcterms:W3CDTF">2026-10-17T19:45:00Z</dcterms:modified>
</cp:coreProperties>
</file>