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 yyyy"/>
    <numFmt numFmtId="166" formatCode="#,##0;[Red]-#,##0"/>
    <numFmt numFmtId="167" formatCode="0.0%"/>
    <numFmt numFmtId="168" formatCode="0.000"/>
    <numFmt numFmtId="169" formatCode="0.0"/>
    <numFmt numFmtId="170" formatCode="mmm yy"/>
    <numFmt numFmtId="171" formatCode="&quot;Year &quot;0"/>
  </numFmts>
  <fonts count="7">
    <font>
      <name val="Calibri"/>
      <family val="2"/>
      <color theme="1"/>
      <sz val="11"/>
      <scheme val="minor"/>
    </font>
    <font>
      <name val="Calibri"/>
      <b val="1"/>
      <color rgb="00171417"/>
      <sz val="16"/>
    </font>
    <font>
      <name val="Calibri"/>
      <i val="1"/>
      <color rgb="005C5870"/>
      <sz val="10"/>
    </font>
    <font>
      <name val="Calibri"/>
      <b val="1"/>
      <color rgb="00FFFFFF"/>
      <sz val="11"/>
    </font>
    <font>
      <name val="Calibri"/>
      <color rgb="000000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71417"/>
      </patternFill>
    </fill>
    <fill>
      <patternFill patternType="solid">
        <fgColor rgb="007963E9"/>
      </patternFill>
    </fill>
    <fill>
      <patternFill patternType="solid">
        <fgColor rgb="00F3FDD0"/>
      </patternFill>
    </fill>
  </fills>
  <borders count="2">
    <border>
      <left/>
      <right/>
      <top/>
      <bottom/>
      <diagonal/>
    </border>
    <border>
      <bottom style="thin">
        <color rgb="00ECEBF2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3" borderId="0" pivotButton="0" quotePrefix="0" xfId="0"/>
    <xf numFmtId="0" fontId="0" fillId="3" borderId="0" pivotButton="0" quotePrefix="0" xfId="0"/>
    <xf numFmtId="165" fontId="4" fillId="4" borderId="0" pivotButton="0" quotePrefix="0" xfId="0"/>
    <xf numFmtId="166" fontId="4" fillId="4" borderId="0" pivotButton="0" quotePrefix="0" xfId="0"/>
    <xf numFmtId="1" fontId="4" fillId="4" borderId="0" pivotButton="0" quotePrefix="0" xfId="0"/>
    <xf numFmtId="3" fontId="4" fillId="4" borderId="0" pivotButton="0" quotePrefix="0" xfId="0"/>
    <xf numFmtId="167" fontId="4" fillId="4" borderId="0" pivotButton="0" quotePrefix="0" xfId="0"/>
    <xf numFmtId="0" fontId="4" fillId="4" borderId="0" pivotButton="0" quotePrefix="0" xfId="0"/>
    <xf numFmtId="3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6" fillId="0" borderId="0" pivotButton="0" quotePrefix="0" xfId="0"/>
    <xf numFmtId="1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49" fontId="0" fillId="0" borderId="0" applyAlignment="1" pivotButton="0" quotePrefix="0" xfId="0">
      <alignment horizontal="right"/>
    </xf>
    <xf numFmtId="171" fontId="3" fillId="2" borderId="0" applyAlignment="1" pivotButton="0" quotePrefix="0" xfId="0">
      <alignment horizontal="right"/>
    </xf>
    <xf numFmtId="0" fontId="5" fillId="0" borderId="0" pivotButton="0" quotePrefix="0" xfId="0"/>
    <xf numFmtId="3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" fontId="0" fillId="0" borderId="0" pivotButton="0" quotePrefix="0" xfId="0"/>
    <xf numFmtId="1" fontId="3" fillId="2" borderId="1" pivotButton="0" quotePrefix="0" xfId="0"/>
    <xf numFmtId="170" fontId="0" fillId="0" borderId="1" pivotButton="0" quotePrefix="0" xfId="0"/>
    <xf numFmtId="1" fontId="0" fillId="0" borderId="1" pivotButton="0" quotePrefix="0" xfId="0"/>
    <xf numFmtId="3" fontId="6" fillId="0" borderId="1" pivotButton="0" quotePrefix="0" xfId="0"/>
    <xf numFmtId="168" fontId="0" fillId="0" borderId="1" pivotButton="0" quotePrefix="0" xfId="0"/>
    <xf numFmtId="166" fontId="6" fillId="0" borderId="1" pivotButton="0" quotePrefix="0" xfId="0"/>
    <xf numFmtId="2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2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at end of month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'Model'!$D$30:$AM$30</f>
            </numRef>
          </cat>
          <val>
            <numRef>
              <f>'Model'!$D$91:$AM$91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Robots delivered each month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'Model'!$D$30:$AM$30</f>
            </numRef>
          </cat>
          <val>
            <numRef>
              <f>'Model'!$D$34:$AM$34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Robots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16</col>
      <colOff>0</colOff>
      <row>3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24" customWidth="1" min="3" max="3"/>
    <col width="70" customWidth="1" min="4" max="4"/>
  </cols>
  <sheetData>
    <row r="1">
      <c r="A1" s="1" t="inlineStr">
        <is>
          <t>Hardware startup financial model: a fictional warehouse-robot maker</t>
        </is>
      </c>
    </row>
    <row r="2">
      <c r="A2" s="2" t="inlineStr">
        <is>
          <t>How to use: change only the blue cells on this sheet. The Model sheet shows the key outputs, each year and every month. The Checklist sheet lists what investors check.</t>
        </is>
      </c>
    </row>
    <row r="3">
      <c r="A3" s="2" t="inlineStr">
        <is>
          <t>All numbers are made up to show how the model works. This is not financial advice. Made by Waveup for waveup.com/blog/hardware-robotics-model-example/</t>
        </is>
      </c>
    </row>
    <row r="5">
      <c r="A5" s="3" t="inlineStr">
        <is>
          <t>Input</t>
        </is>
      </c>
      <c r="B5" s="3" t="inlineStr">
        <is>
          <t>Value</t>
        </is>
      </c>
      <c r="C5" s="3" t="inlineStr">
        <is>
          <t>Unit</t>
        </is>
      </c>
      <c r="D5" s="3" t="inlineStr">
        <is>
          <t>What it means</t>
        </is>
      </c>
    </row>
    <row r="6">
      <c r="A6" s="4" t="inlineStr">
        <is>
          <t>Timing and funding</t>
        </is>
      </c>
      <c r="B6" s="5" t="n"/>
      <c r="C6" s="5" t="n"/>
      <c r="D6" s="5" t="n"/>
    </row>
    <row r="7">
      <c r="A7" t="inlineStr">
        <is>
          <t>Model start month</t>
        </is>
      </c>
      <c r="B7" s="6" t="n">
        <v>46388</v>
      </c>
      <c r="C7" t="inlineStr">
        <is>
          <t>date</t>
        </is>
      </c>
      <c r="D7" s="2" t="inlineStr">
        <is>
          <t>The first month of the model</t>
        </is>
      </c>
    </row>
    <row r="8">
      <c r="A8" t="inlineStr">
        <is>
          <t>Cash in the bank at the start</t>
        </is>
      </c>
      <c r="B8" s="7" t="n">
        <v>6000000</v>
      </c>
      <c r="C8" t="inlineStr">
        <is>
          <t>$</t>
        </is>
      </c>
      <c r="D8" s="2" t="inlineStr">
        <is>
          <t>Your seed round, already in the bank</t>
        </is>
      </c>
    </row>
    <row r="9">
      <c r="A9" t="inlineStr">
        <is>
          <t>Equity raised in the next round</t>
        </is>
      </c>
      <c r="B9" s="7" t="n">
        <v>0</v>
      </c>
      <c r="C9" t="inlineStr">
        <is>
          <t>$</t>
        </is>
      </c>
      <c r="D9" s="2" t="inlineStr">
        <is>
          <t>Leave at 0 to see how much you need and when</t>
        </is>
      </c>
    </row>
    <row r="10">
      <c r="A10" t="inlineStr">
        <is>
          <t>Month the next round closes</t>
        </is>
      </c>
      <c r="B10" s="8" t="n">
        <v>12</v>
      </c>
      <c r="C10" t="inlineStr">
        <is>
          <t>month (1-36)</t>
        </is>
      </c>
      <c r="D10" s="2" t="inlineStr">
        <is>
          <t>Only used if the round above is more than 0</t>
        </is>
      </c>
    </row>
    <row r="11">
      <c r="A11" t="inlineStr">
        <is>
          <t>Robots delivered at the next milestone</t>
        </is>
      </c>
      <c r="B11" s="9" t="n">
        <v>100</v>
      </c>
      <c r="C11" t="inlineStr">
        <is>
          <t>robots</t>
        </is>
      </c>
      <c r="D11" s="2" t="inlineStr">
        <is>
          <t>What the next investor wants to see, in robots delivered to date</t>
        </is>
      </c>
    </row>
    <row r="12">
      <c r="A12" t="inlineStr">
        <is>
          <t>Cash cushion at the milestone</t>
        </is>
      </c>
      <c r="B12" s="7" t="n">
        <v>1000000</v>
      </c>
      <c r="C12" t="inlineStr">
        <is>
          <t>$</t>
        </is>
      </c>
      <c r="D12" s="2" t="inlineStr">
        <is>
          <t>Cash you want left when you reach the milestone</t>
        </is>
      </c>
    </row>
    <row r="13">
      <c r="A13" s="4" t="inlineStr">
        <is>
          <t>Robots and prices</t>
        </is>
      </c>
      <c r="B13" s="5" t="n"/>
      <c r="C13" s="5" t="n"/>
      <c r="D13" s="5" t="n"/>
    </row>
    <row r="14">
      <c r="A14" t="inlineStr">
        <is>
          <t>First delivery month</t>
        </is>
      </c>
      <c r="B14" s="8" t="n">
        <v>5</v>
      </c>
      <c r="C14" t="inlineStr">
        <is>
          <t>month (1-36)</t>
        </is>
      </c>
      <c r="D14" s="2" t="inlineStr">
        <is>
          <t>When the first paying customers get robots</t>
        </is>
      </c>
    </row>
    <row r="15">
      <c r="A15" t="inlineStr">
        <is>
          <t>Robots delivered in the first delivery month</t>
        </is>
      </c>
      <c r="B15" s="9" t="n">
        <v>2</v>
      </c>
      <c r="C15" t="inlineStr">
        <is>
          <t>robots</t>
        </is>
      </c>
      <c r="D15" s="2" t="inlineStr">
        <is>
          <t>From signed orders and pilots</t>
        </is>
      </c>
    </row>
    <row r="16">
      <c r="A16" t="inlineStr">
        <is>
          <t>Monthly growth in deliveries</t>
        </is>
      </c>
      <c r="B16" s="10" t="n">
        <v>0.1</v>
      </c>
      <c r="C16" t="inlineStr">
        <is>
          <t>% a month</t>
        </is>
      </c>
      <c r="D16" s="2" t="inlineStr">
        <is>
          <t>Check it against your sales pipeline and factory capacity</t>
        </is>
      </c>
    </row>
    <row r="17">
      <c r="A17" t="inlineStr">
        <is>
          <t>Share of robots rented out (RaaS)</t>
        </is>
      </c>
      <c r="B17" s="10" t="n">
        <v>0.4</v>
      </c>
      <c r="C17" t="inlineStr">
        <is>
          <t>% of robots</t>
        </is>
      </c>
      <c r="D17" s="2" t="inlineStr">
        <is>
          <t>0% = you sell every robot; 100% = you rent every robot</t>
        </is>
      </c>
    </row>
    <row r="18">
      <c r="A18" t="inlineStr">
        <is>
          <t>Sale price per robot</t>
        </is>
      </c>
      <c r="B18" s="9" t="n">
        <v>50000</v>
      </c>
      <c r="C18" t="inlineStr">
        <is>
          <t>$</t>
        </is>
      </c>
      <c r="D18" s="2" t="inlineStr">
        <is>
          <t>What a customer pays to buy one robot</t>
        </is>
      </c>
    </row>
    <row r="19">
      <c r="A19" t="inlineStr">
        <is>
          <t>RaaS fee per robot per month</t>
        </is>
      </c>
      <c r="B19" s="9" t="n">
        <v>1800</v>
      </c>
      <c r="C19" t="inlineStr">
        <is>
          <t>$ a month</t>
        </is>
      </c>
      <c r="D19" s="2" t="inlineStr">
        <is>
          <t>What a customer pays to rent one robot, service included</t>
        </is>
      </c>
    </row>
    <row r="20">
      <c r="A20" s="4" t="inlineStr">
        <is>
          <t>Cost to build and run one robot</t>
        </is>
      </c>
      <c r="B20" s="5" t="n"/>
      <c r="C20" s="5" t="n"/>
      <c r="D20" s="5" t="n"/>
    </row>
    <row r="21">
      <c r="A21" t="inlineStr">
        <is>
          <t>Parts (bill of materials), first robots</t>
        </is>
      </c>
      <c r="B21" s="9" t="n">
        <v>24000</v>
      </c>
      <c r="C21" t="inlineStr">
        <is>
          <t>$ per robot</t>
        </is>
      </c>
      <c r="D21" s="2" t="inlineStr">
        <is>
          <t>Every part in the robot, priced from supplier quotes</t>
        </is>
      </c>
    </row>
    <row r="22">
      <c r="A22" t="inlineStr">
        <is>
          <t>Assembly and test, first robots</t>
        </is>
      </c>
      <c r="B22" s="9" t="n">
        <v>4000</v>
      </c>
      <c r="C22" t="inlineStr">
        <is>
          <t>$ per robot</t>
        </is>
      </c>
      <c r="D22" s="2" t="inlineStr">
        <is>
          <t>Contract manufacturer and your own test time</t>
        </is>
      </c>
    </row>
    <row r="23">
      <c r="A23" t="inlineStr">
        <is>
          <t>Cost-down each time total robots built doubles</t>
        </is>
      </c>
      <c r="B23" s="10" t="n">
        <v>0.08</v>
      </c>
      <c r="C23" t="inlineStr">
        <is>
          <t>% per doubling</t>
        </is>
      </c>
      <c r="D23" s="2" t="inlineStr">
        <is>
          <t>The learning curve: parts and assembly get cheaper with volume</t>
        </is>
      </c>
    </row>
    <row r="24">
      <c r="A24" t="inlineStr">
        <is>
          <t>Robots built before the cost-down starts</t>
        </is>
      </c>
      <c r="B24" s="9" t="n">
        <v>50</v>
      </c>
      <c r="C24" t="inlineStr">
        <is>
          <t>robots</t>
        </is>
      </c>
      <c r="D24" s="2" t="inlineStr">
        <is>
          <t>First-robot costs apply until you have built this many</t>
        </is>
      </c>
    </row>
    <row r="25">
      <c r="A25" t="inlineStr">
        <is>
          <t>Freight, duties and tariffs</t>
        </is>
      </c>
      <c r="B25" s="10" t="n">
        <v>0.08</v>
      </c>
      <c r="C25" t="inlineStr">
        <is>
          <t>% of parts cost</t>
        </is>
      </c>
      <c r="D25" s="2" t="inlineStr">
        <is>
          <t>Shipping parts and robots, plus import duties and tariffs</t>
        </is>
      </c>
    </row>
    <row r="26">
      <c r="A26" t="inlineStr">
        <is>
          <t>Installation and commissioning</t>
        </is>
      </c>
      <c r="B26" s="9" t="n">
        <v>1500</v>
      </c>
      <c r="C26" t="inlineStr">
        <is>
          <t>$ per robot</t>
        </is>
      </c>
      <c r="D26" s="2" t="inlineStr">
        <is>
          <t>Getting each robot running at the customer's site</t>
        </is>
      </c>
    </row>
    <row r="27">
      <c r="A27" t="inlineStr">
        <is>
          <t>Warranty reserve on robots sold</t>
        </is>
      </c>
      <c r="B27" s="10" t="n">
        <v>0.04</v>
      </c>
      <c r="C27" t="inlineStr">
        <is>
          <t>% of sale price</t>
        </is>
      </c>
      <c r="D27" s="2" t="inlineStr">
        <is>
          <t>Set aside for repairs under warranty</t>
        </is>
      </c>
    </row>
    <row r="28">
      <c r="A28" t="inlineStr">
        <is>
          <t>Service cost per rented robot</t>
        </is>
      </c>
      <c r="B28" s="9" t="n">
        <v>250</v>
      </c>
      <c r="C28" t="inlineStr">
        <is>
          <t>$ a month</t>
        </is>
      </c>
      <c r="D28" s="2" t="inlineStr">
        <is>
          <t>Maintenance, spare parts and support for each RaaS robot</t>
        </is>
      </c>
    </row>
    <row r="29">
      <c r="A29" t="inlineStr">
        <is>
          <t>Useful life of a rented robot</t>
        </is>
      </c>
      <c r="B29" s="8" t="n">
        <v>60</v>
      </c>
      <c r="C29" t="inlineStr">
        <is>
          <t>months</t>
        </is>
      </c>
      <c r="D29" s="2" t="inlineStr">
        <is>
          <t>A rented robot stays on your books and is written off over this time</t>
        </is>
      </c>
    </row>
    <row r="30">
      <c r="A30" s="4" t="inlineStr">
        <is>
          <t>Stock and payment terms</t>
        </is>
      </c>
      <c r="B30" s="5" t="n"/>
      <c r="C30" s="5" t="n"/>
      <c r="D30" s="5" t="n"/>
    </row>
    <row r="31">
      <c r="A31" t="inlineStr">
        <is>
          <t>Months between building and delivering a robot</t>
        </is>
      </c>
      <c r="B31" s="8" t="n">
        <v>2</v>
      </c>
      <c r="C31" t="inlineStr">
        <is>
          <t>months</t>
        </is>
      </c>
      <c r="D31" s="2" t="inlineStr">
        <is>
          <t>You pay for parts and assembly in the month you build</t>
        </is>
      </c>
    </row>
    <row r="32">
      <c r="A32" t="inlineStr">
        <is>
          <t>Customer deposit on robots sold</t>
        </is>
      </c>
      <c r="B32" s="10" t="n">
        <v>0.3</v>
      </c>
      <c r="C32" t="inlineStr">
        <is>
          <t>% of sale price</t>
        </is>
      </c>
      <c r="D32" s="2" t="inlineStr">
        <is>
          <t>Paid when the robot is built for that customer</t>
        </is>
      </c>
    </row>
    <row r="33">
      <c r="A33" t="inlineStr">
        <is>
          <t>Months after delivery that customers pay the rest</t>
        </is>
      </c>
      <c r="B33" s="8" t="n">
        <v>2</v>
      </c>
      <c r="C33" t="inlineStr">
        <is>
          <t>months</t>
        </is>
      </c>
      <c r="D33" s="2" t="inlineStr">
        <is>
          <t>Your invoice terms</t>
        </is>
      </c>
    </row>
    <row r="34">
      <c r="A34" s="4" t="inlineStr">
        <is>
          <t>Team and operating costs</t>
        </is>
      </c>
      <c r="B34" s="5" t="n"/>
      <c r="C34" s="5" t="n"/>
      <c r="D34" s="5" t="n"/>
    </row>
    <row r="35">
      <c r="A35" t="inlineStr">
        <is>
          <t>Payroll taxes and benefits</t>
        </is>
      </c>
      <c r="B35" s="10" t="n">
        <v>0.2</v>
      </c>
      <c r="C35" t="inlineStr">
        <is>
          <t>% of salaries</t>
        </is>
      </c>
      <c r="D35" s="2" t="inlineStr">
        <is>
          <t>Employer costs on top of salaries</t>
        </is>
      </c>
    </row>
    <row r="36">
      <c r="A36" t="inlineStr">
        <is>
          <t>Other costs per employee</t>
        </is>
      </c>
      <c r="B36" s="9" t="n">
        <v>1000</v>
      </c>
      <c r="C36" t="inlineStr">
        <is>
          <t>$ a month</t>
        </is>
      </c>
      <c r="D36" s="2" t="inlineStr">
        <is>
          <t>Software, laptops, travel</t>
        </is>
      </c>
    </row>
    <row r="37">
      <c r="A37" t="inlineStr">
        <is>
          <t>R&amp;D materials, prototypes and certification</t>
        </is>
      </c>
      <c r="B37" s="9" t="n">
        <v>50000</v>
      </c>
      <c r="C37" t="inlineStr">
        <is>
          <t>$ a month</t>
        </is>
      </c>
      <c r="D37" s="2" t="inlineStr">
        <is>
          <t>Parts for prototypes, test runs, safety certification</t>
        </is>
      </c>
    </row>
    <row r="38">
      <c r="A38" t="inlineStr">
        <is>
          <t>Sales and marketing</t>
        </is>
      </c>
      <c r="B38" s="9" t="n">
        <v>20000</v>
      </c>
      <c r="C38" t="inlineStr">
        <is>
          <t>$ a month</t>
        </is>
      </c>
      <c r="D38" s="2" t="inlineStr">
        <is>
          <t>Trade shows, demo robots, travel</t>
        </is>
      </c>
    </row>
    <row r="39">
      <c r="A39" t="inlineStr">
        <is>
          <t>Rent, lab and admin</t>
        </is>
      </c>
      <c r="B39" s="9" t="n">
        <v>35000</v>
      </c>
      <c r="C39" t="inlineStr">
        <is>
          <t>$ a month</t>
        </is>
      </c>
      <c r="D39" s="2" t="inlineStr">
        <is>
          <t>Workshop and office, insurance, legal, accounting</t>
        </is>
      </c>
    </row>
    <row r="40">
      <c r="A40" s="4" t="inlineStr">
        <is>
          <t>Equipment and fleet financing</t>
        </is>
      </c>
      <c r="B40" s="5" t="n"/>
      <c r="C40" s="5" t="n"/>
      <c r="D40" s="5" t="n"/>
    </row>
    <row r="41">
      <c r="A41" t="inlineStr">
        <is>
          <t>Test rigs and pilot line</t>
        </is>
      </c>
      <c r="B41" s="7" t="n">
        <v>400000</v>
      </c>
      <c r="C41" t="inlineStr">
        <is>
          <t>$</t>
        </is>
      </c>
      <c r="D41" s="2" t="inlineStr">
        <is>
          <t>Equipment you buy to build and test robots</t>
        </is>
      </c>
    </row>
    <row r="42">
      <c r="A42" t="inlineStr">
        <is>
          <t>Month you buy the test rigs and pilot line</t>
        </is>
      </c>
      <c r="B42" s="8" t="n">
        <v>2</v>
      </c>
      <c r="C42" t="inlineStr">
        <is>
          <t>month (1-36)</t>
        </is>
      </c>
      <c r="D42" s="2" t="inlineStr"/>
    </row>
    <row r="43">
      <c r="A43" t="inlineStr">
        <is>
          <t>Production tooling</t>
        </is>
      </c>
      <c r="B43" s="7" t="n">
        <v>600000</v>
      </c>
      <c r="C43" t="inlineStr">
        <is>
          <t>$</t>
        </is>
      </c>
      <c r="D43" s="2" t="inlineStr">
        <is>
          <t>Moulds, fixtures and tools for volume production</t>
        </is>
      </c>
    </row>
    <row r="44">
      <c r="A44" t="inlineStr">
        <is>
          <t>Month you buy the production tooling</t>
        </is>
      </c>
      <c r="B44" s="8" t="n">
        <v>14</v>
      </c>
      <c r="C44" t="inlineStr">
        <is>
          <t>month (1-36)</t>
        </is>
      </c>
      <c r="D44" s="2" t="inlineStr"/>
    </row>
    <row r="45">
      <c r="A45" t="inlineStr">
        <is>
          <t>Useful life of equipment</t>
        </is>
      </c>
      <c r="B45" s="8" t="n">
        <v>60</v>
      </c>
      <c r="C45" t="inlineStr">
        <is>
          <t>months</t>
        </is>
      </c>
      <c r="D45" s="2" t="inlineStr">
        <is>
          <t>Equipment is written off over this time</t>
        </is>
      </c>
    </row>
    <row r="46">
      <c r="A46" t="inlineStr">
        <is>
          <t>Use a fleet facility for rented robots</t>
        </is>
      </c>
      <c r="B46" s="8" t="n">
        <v>1</v>
      </c>
      <c r="C46" t="inlineStr">
        <is>
          <t>1 = yes, 0 = no</t>
        </is>
      </c>
      <c r="D46" s="2" t="inlineStr">
        <is>
          <t>A loan secured on your rented robots</t>
        </is>
      </c>
    </row>
    <row r="47">
      <c r="A47" t="inlineStr">
        <is>
          <t>First month the lender funds robots</t>
        </is>
      </c>
      <c r="B47" s="8" t="n">
        <v>13</v>
      </c>
      <c r="C47" t="inlineStr">
        <is>
          <t>month (1-36)</t>
        </is>
      </c>
      <c r="D47" s="2" t="inlineStr">
        <is>
          <t>Lenders want a track record and a priced equity round first</t>
        </is>
      </c>
    </row>
    <row r="48">
      <c r="A48" t="inlineStr">
        <is>
          <t>Share of each rented robot's cost the lender funds</t>
        </is>
      </c>
      <c r="B48" s="10" t="n">
        <v>0.7</v>
      </c>
      <c r="C48" t="inlineStr">
        <is>
          <t>% of robot cost</t>
        </is>
      </c>
      <c r="D48" s="2" t="inlineStr">
        <is>
          <t>The advance rate</t>
        </is>
      </c>
    </row>
    <row r="49">
      <c r="A49" t="inlineStr">
        <is>
          <t>Interest rate on the fleet facility</t>
        </is>
      </c>
      <c r="B49" s="10" t="n">
        <v>0.12</v>
      </c>
      <c r="C49" t="inlineStr">
        <is>
          <t>% a year</t>
        </is>
      </c>
      <c r="D49" s="2" t="inlineStr">
        <is>
          <t>Paid monthly on the balance</t>
        </is>
      </c>
    </row>
    <row r="50">
      <c r="A50" t="inlineStr">
        <is>
          <t>Months to repay the fleet facility</t>
        </is>
      </c>
      <c r="B50" s="8" t="n">
        <v>36</v>
      </c>
      <c r="C50" t="inlineStr">
        <is>
          <t>months</t>
        </is>
      </c>
      <c r="D50" s="2" t="inlineStr">
        <is>
          <t>Each month you repay 1/36 of what you owe</t>
        </is>
      </c>
    </row>
    <row r="51">
      <c r="A51" s="4" t="inlineStr">
        <is>
          <t>Hiring plan (add your own roles in the empty rows)</t>
        </is>
      </c>
      <c r="B51" s="5" t="n"/>
      <c r="C51" s="5" t="n"/>
      <c r="D51" s="5" t="n"/>
    </row>
    <row r="52">
      <c r="A52" s="3" t="inlineStr">
        <is>
          <t>Role</t>
        </is>
      </c>
      <c r="B52" s="3" t="inlineStr">
        <is>
          <t>Monthly salary ($)</t>
        </is>
      </c>
      <c r="C52" s="3" t="inlineStr">
        <is>
          <t>Start month (1-36)</t>
        </is>
      </c>
      <c r="D52" s="3" t="inlineStr">
        <is>
          <t>Note</t>
        </is>
      </c>
    </row>
    <row r="53">
      <c r="A53" s="11" t="inlineStr">
        <is>
          <t>CEO (founder)</t>
        </is>
      </c>
      <c r="B53" s="9" t="n">
        <v>13000</v>
      </c>
      <c r="C53" s="8" t="n">
        <v>1</v>
      </c>
    </row>
    <row r="54">
      <c r="A54" s="11" t="inlineStr">
        <is>
          <t>CTO (founder)</t>
        </is>
      </c>
      <c r="B54" s="9" t="n">
        <v>13000</v>
      </c>
      <c r="C54" s="8" t="n">
        <v>1</v>
      </c>
    </row>
    <row r="55">
      <c r="A55" s="11" t="inlineStr">
        <is>
          <t>Robotics software engineer</t>
        </is>
      </c>
      <c r="B55" s="9" t="n">
        <v>14000</v>
      </c>
      <c r="C55" s="8" t="n">
        <v>1</v>
      </c>
    </row>
    <row r="56">
      <c r="A56" s="11" t="inlineStr">
        <is>
          <t>Robotics software engineer</t>
        </is>
      </c>
      <c r="B56" s="9" t="n">
        <v>14000</v>
      </c>
      <c r="C56" s="8" t="n">
        <v>1</v>
      </c>
    </row>
    <row r="57">
      <c r="A57" s="11" t="inlineStr">
        <is>
          <t>Robotics software engineer</t>
        </is>
      </c>
      <c r="B57" s="9" t="n">
        <v>14000</v>
      </c>
      <c r="C57" s="8" t="n">
        <v>1</v>
      </c>
    </row>
    <row r="58">
      <c r="A58" s="11" t="inlineStr">
        <is>
          <t>Mechanical engineer</t>
        </is>
      </c>
      <c r="B58" s="9" t="n">
        <v>12000</v>
      </c>
      <c r="C58" s="8" t="n">
        <v>1</v>
      </c>
    </row>
    <row r="59">
      <c r="A59" s="11" t="inlineStr">
        <is>
          <t>Electrical engineer</t>
        </is>
      </c>
      <c r="B59" s="9" t="n">
        <v>12000</v>
      </c>
      <c r="C59" s="8" t="n">
        <v>1</v>
      </c>
    </row>
    <row r="60">
      <c r="A60" s="11" t="inlineStr">
        <is>
          <t>Manufacturing engineer</t>
        </is>
      </c>
      <c r="B60" s="9" t="n">
        <v>11000</v>
      </c>
      <c r="C60" s="8" t="n">
        <v>1</v>
      </c>
    </row>
    <row r="61">
      <c r="A61" s="11" t="inlineStr">
        <is>
          <t>Supply chain manager</t>
        </is>
      </c>
      <c r="B61" s="9" t="n">
        <v>10000</v>
      </c>
      <c r="C61" s="8" t="n">
        <v>1</v>
      </c>
    </row>
    <row r="62">
      <c r="A62" s="11" t="inlineStr">
        <is>
          <t>Test engineer</t>
        </is>
      </c>
      <c r="B62" s="9" t="n">
        <v>11000</v>
      </c>
      <c r="C62" s="8" t="n">
        <v>1</v>
      </c>
    </row>
    <row r="63">
      <c r="A63" s="11" t="inlineStr">
        <is>
          <t>Account executive</t>
        </is>
      </c>
      <c r="B63" s="9" t="n">
        <v>11000</v>
      </c>
      <c r="C63" s="8" t="n">
        <v>2</v>
      </c>
    </row>
    <row r="64">
      <c r="A64" s="11" t="inlineStr">
        <is>
          <t>Robotics software engineer</t>
        </is>
      </c>
      <c r="B64" s="9" t="n">
        <v>14000</v>
      </c>
      <c r="C64" s="8" t="n">
        <v>4</v>
      </c>
    </row>
    <row r="65">
      <c r="A65" s="11" t="inlineStr">
        <is>
          <t>Quality engineer</t>
        </is>
      </c>
      <c r="B65" s="9" t="n">
        <v>10000</v>
      </c>
      <c r="C65" s="8" t="n">
        <v>5</v>
      </c>
    </row>
    <row r="66">
      <c r="A66" s="11" t="inlineStr">
        <is>
          <t>Deployment lead</t>
        </is>
      </c>
      <c r="B66" s="9" t="n">
        <v>10000</v>
      </c>
      <c r="C66" s="8" t="n">
        <v>6</v>
      </c>
    </row>
    <row r="67">
      <c r="A67" s="11" t="inlineStr">
        <is>
          <t>Mechanical engineer</t>
        </is>
      </c>
      <c r="B67" s="9" t="n">
        <v>12000</v>
      </c>
      <c r="C67" s="8" t="n">
        <v>8</v>
      </c>
    </row>
    <row r="68">
      <c r="A68" s="11" t="inlineStr">
        <is>
          <t>Customer success manager</t>
        </is>
      </c>
      <c r="B68" s="9" t="n">
        <v>9000</v>
      </c>
      <c r="C68" s="8" t="n">
        <v>9</v>
      </c>
    </row>
    <row r="69">
      <c r="A69" s="11" t="inlineStr">
        <is>
          <t>Account executive</t>
        </is>
      </c>
      <c r="B69" s="9" t="n">
        <v>11000</v>
      </c>
      <c r="C69" s="8" t="n">
        <v>10</v>
      </c>
    </row>
    <row r="70">
      <c r="A70" s="11" t="inlineStr">
        <is>
          <t>Robotics software engineer</t>
        </is>
      </c>
      <c r="B70" s="9" t="n">
        <v>14000</v>
      </c>
      <c r="C70" s="8" t="n">
        <v>12</v>
      </c>
    </row>
    <row r="71">
      <c r="A71" s="11" t="inlineStr">
        <is>
          <t>Finance manager</t>
        </is>
      </c>
      <c r="B71" s="9" t="n">
        <v>10000</v>
      </c>
      <c r="C71" s="8" t="n">
        <v>13</v>
      </c>
    </row>
    <row r="72">
      <c r="A72" s="11" t="inlineStr">
        <is>
          <t>Electrical engineer</t>
        </is>
      </c>
      <c r="B72" s="9" t="n">
        <v>12000</v>
      </c>
      <c r="C72" s="8" t="n">
        <v>14</v>
      </c>
    </row>
    <row r="73">
      <c r="A73" s="11" t="inlineStr">
        <is>
          <t>Account executive</t>
        </is>
      </c>
      <c r="B73" s="9" t="n">
        <v>11000</v>
      </c>
      <c r="C73" s="8" t="n">
        <v>16</v>
      </c>
    </row>
    <row r="74">
      <c r="A74" s="11" t="inlineStr">
        <is>
          <t>Robotics software engineer</t>
        </is>
      </c>
      <c r="B74" s="9" t="n">
        <v>14000</v>
      </c>
      <c r="C74" s="8" t="n">
        <v>17</v>
      </c>
    </row>
    <row r="75">
      <c r="A75" s="11" t="inlineStr">
        <is>
          <t>Production planner</t>
        </is>
      </c>
      <c r="B75" s="9" t="n">
        <v>9000</v>
      </c>
      <c r="C75" s="8" t="n">
        <v>18</v>
      </c>
    </row>
    <row r="76">
      <c r="A76" s="11" t="inlineStr">
        <is>
          <t>Marketing manager</t>
        </is>
      </c>
      <c r="B76" s="9" t="n">
        <v>10000</v>
      </c>
      <c r="C76" s="8" t="n">
        <v>20</v>
      </c>
    </row>
    <row r="77">
      <c r="A77" s="11" t="inlineStr">
        <is>
          <t>Customer success manager</t>
        </is>
      </c>
      <c r="B77" s="9" t="n">
        <v>9000</v>
      </c>
      <c r="C77" s="8" t="n">
        <v>21</v>
      </c>
    </row>
    <row r="78">
      <c r="A78" s="11" t="inlineStr">
        <is>
          <t>Robotics software engineer</t>
        </is>
      </c>
      <c r="B78" s="9" t="n">
        <v>14000</v>
      </c>
      <c r="C78" s="8" t="n">
        <v>22</v>
      </c>
    </row>
    <row r="79">
      <c r="A79" s="11" t="inlineStr">
        <is>
          <t>Account executive</t>
        </is>
      </c>
      <c r="B79" s="9" t="n">
        <v>11000</v>
      </c>
      <c r="C79" s="8" t="n">
        <v>24</v>
      </c>
    </row>
    <row r="80">
      <c r="A80" s="11" t="inlineStr">
        <is>
          <t>Mechanical engineer</t>
        </is>
      </c>
      <c r="B80" s="9" t="n">
        <v>12000</v>
      </c>
      <c r="C80" s="8" t="n">
        <v>26</v>
      </c>
    </row>
    <row r="81">
      <c r="A81" s="11" t="inlineStr">
        <is>
          <t>Robotics software engineer</t>
        </is>
      </c>
      <c r="B81" s="9" t="n">
        <v>14000</v>
      </c>
      <c r="C81" s="8" t="n">
        <v>28</v>
      </c>
    </row>
    <row r="82">
      <c r="A82" s="11" t="inlineStr">
        <is>
          <t>People and HR manager</t>
        </is>
      </c>
      <c r="B82" s="9" t="n">
        <v>9000</v>
      </c>
      <c r="C82" s="8" t="n">
        <v>30</v>
      </c>
    </row>
    <row r="83">
      <c r="A83" s="11" t="n"/>
      <c r="B83" s="9" t="n"/>
      <c r="C83" s="8" t="n"/>
    </row>
    <row r="84">
      <c r="A84" s="11" t="n"/>
      <c r="B84" s="9" t="n"/>
      <c r="C84" s="8" t="n"/>
    </row>
    <row r="85">
      <c r="A85" s="11" t="n"/>
      <c r="B85" s="9" t="n"/>
      <c r="C85" s="8" t="n"/>
    </row>
    <row r="86">
      <c r="A86" s="11" t="n"/>
      <c r="B86" s="9" t="n"/>
      <c r="C86" s="8" t="n"/>
    </row>
    <row r="87">
      <c r="A87" s="4" t="inlineStr">
        <is>
          <t>Unit economics (calculated: don't type here, except the blue volume check)</t>
        </is>
      </c>
      <c r="B87" s="5" t="n"/>
      <c r="C87" s="5" t="n"/>
      <c r="D87" s="5" t="n"/>
    </row>
    <row r="88">
      <c r="A88" t="inlineStr">
        <is>
          <t>Volume check: total robots built</t>
        </is>
      </c>
      <c r="B88" s="9" t="n">
        <v>400</v>
      </c>
      <c r="C88" t="inlineStr">
        <is>
          <t>robots</t>
        </is>
      </c>
      <c r="D88" s="2" t="inlineStr">
        <is>
          <t>Shows what one robot costs once you have built this many</t>
        </is>
      </c>
    </row>
    <row r="89">
      <c r="A89" t="inlineStr">
        <is>
          <t>Cost to build one robot, first robots</t>
        </is>
      </c>
      <c r="B89" s="12">
        <f>$B$21*(1+$B$25)+$B$22</f>
        <v/>
      </c>
      <c r="C89" t="inlineStr">
        <is>
          <t>$</t>
        </is>
      </c>
      <c r="D89" s="2" t="inlineStr">
        <is>
          <t>Parts + assembly + freight, duties and tariffs</t>
        </is>
      </c>
    </row>
    <row r="90">
      <c r="A90" t="inlineStr">
        <is>
          <t>Cost of one robot sold, first robots</t>
        </is>
      </c>
      <c r="B90" s="12">
        <f>$B$89+$B$26+$B$27*$B$18</f>
        <v/>
      </c>
      <c r="C90" t="inlineStr">
        <is>
          <t>$</t>
        </is>
      </c>
      <c r="D90" s="2" t="inlineStr">
        <is>
          <t>Build cost + installation + warranty reserve</t>
        </is>
      </c>
    </row>
    <row r="91">
      <c r="A91" t="inlineStr">
        <is>
          <t>Gross profit per robot sold, first robots</t>
        </is>
      </c>
      <c r="B91" s="12">
        <f>$B$18-$B$90</f>
        <v/>
      </c>
      <c r="C91" t="inlineStr">
        <is>
          <t>$</t>
        </is>
      </c>
      <c r="D91" s="2" t="inlineStr">
        <is>
          <t>Sale price - cost of one robot sold</t>
        </is>
      </c>
    </row>
    <row r="92">
      <c r="A92" t="inlineStr">
        <is>
          <t>Gross margin per robot sold, first robots</t>
        </is>
      </c>
      <c r="B92" s="13">
        <f>$B$91/$B$18</f>
        <v/>
      </c>
      <c r="C92" t="inlineStr">
        <is>
          <t>%</t>
        </is>
      </c>
      <c r="D92" s="2" t="inlineStr">
        <is>
          <t>Gross profit / sale price</t>
        </is>
      </c>
    </row>
    <row r="93">
      <c r="A93" t="inlineStr">
        <is>
          <t>Cost-down factor at the volume check</t>
        </is>
      </c>
      <c r="B93" s="14">
        <f>(MAX($B$88,$B$24)/$B$24)^LOG(1-$B$23,2)</f>
        <v/>
      </c>
      <c r="C93" t="inlineStr">
        <is>
          <t>x</t>
        </is>
      </c>
      <c r="D93" s="2" t="inlineStr">
        <is>
          <t>How much of the first-robot cost is left</t>
        </is>
      </c>
    </row>
    <row r="94">
      <c r="A94" t="inlineStr">
        <is>
          <t>Cost to build one robot at the volume check</t>
        </is>
      </c>
      <c r="B94" s="12">
        <f>$B$89*$B$93</f>
        <v/>
      </c>
      <c r="C94" t="inlineStr">
        <is>
          <t>$</t>
        </is>
      </c>
      <c r="D94" s="2" t="inlineStr">
        <is>
          <t>First-robot build cost x cost-down factor</t>
        </is>
      </c>
    </row>
    <row r="95">
      <c r="A95" t="inlineStr">
        <is>
          <t>Gross margin per robot sold at the volume check</t>
        </is>
      </c>
      <c r="B95" s="13">
        <f>($B$18-$B$94-$B$26-$B$27*$B$18)/$B$18</f>
        <v/>
      </c>
      <c r="C95" t="inlineStr">
        <is>
          <t>%</t>
        </is>
      </c>
      <c r="D95" s="2" t="inlineStr">
        <is>
          <t>Sale price - (build + installation + warranty), / price</t>
        </is>
      </c>
    </row>
    <row r="96">
      <c r="A96" t="inlineStr">
        <is>
          <t>Cost of one rented robot, first robots</t>
        </is>
      </c>
      <c r="B96" s="12">
        <f>$B$89+$B$26</f>
        <v/>
      </c>
      <c r="C96" t="inlineStr">
        <is>
          <t>$</t>
        </is>
      </c>
      <c r="D96" s="2" t="inlineStr">
        <is>
          <t>Build cost + installation: goes on your balance sheet</t>
        </is>
      </c>
    </row>
    <row r="97">
      <c r="A97" t="inlineStr">
        <is>
          <t>Monthly gross profit per rented robot</t>
        </is>
      </c>
      <c r="B97" s="12">
        <f>$B$19-$B$28-$B$96/$B$29</f>
        <v/>
      </c>
      <c r="C97" t="inlineStr">
        <is>
          <t>$ a month</t>
        </is>
      </c>
      <c r="D97" s="2" t="inlineStr">
        <is>
          <t>Fee - service - depreciation (cost / useful life)</t>
        </is>
      </c>
    </row>
    <row r="98">
      <c r="A98" t="inlineStr">
        <is>
          <t>Gross margin per rented robot</t>
        </is>
      </c>
      <c r="B98" s="13">
        <f>$B$97/$B$19</f>
        <v/>
      </c>
      <c r="C98" t="inlineStr">
        <is>
          <t>%</t>
        </is>
      </c>
      <c r="D98" s="2" t="inlineStr">
        <is>
          <t>Monthly gross profit / monthly fee</t>
        </is>
      </c>
    </row>
    <row r="99">
      <c r="A99" t="inlineStr">
        <is>
          <t>Months to earn back one rented robot</t>
        </is>
      </c>
      <c r="B99" s="15">
        <f>$B$96/($B$19-$B$28)</f>
        <v/>
      </c>
      <c r="C99" t="inlineStr">
        <is>
          <t>months</t>
        </is>
      </c>
      <c r="D99" s="2" t="inlineStr">
        <is>
          <t>Cost of the robot / (fee - service)</t>
        </is>
      </c>
    </row>
    <row r="100">
      <c r="A100" t="inlineStr">
        <is>
          <t>Gross profit per rented robot over its life</t>
        </is>
      </c>
      <c r="B100" s="12">
        <f>($B$19-$B$28)*$B$29-$B$96</f>
        <v/>
      </c>
      <c r="C100" t="inlineStr">
        <is>
          <t>$</t>
        </is>
      </c>
      <c r="D100" s="2" t="inlineStr">
        <is>
          <t>(Fee - service) x useful life - cost of the robot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100"/>
  <sheetViews>
    <sheetView workbookViewId="0">
      <pane xSplit="3" ySplit="32" topLeftCell="D3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" customWidth="1" min="2" max="2"/>
    <col width="5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>
      <c r="A1" s="1" t="inlineStr">
        <is>
          <t>Model: key outputs, year by year and 36 months</t>
        </is>
      </c>
    </row>
    <row r="2">
      <c r="A2" s="2" t="inlineStr">
        <is>
          <t>Every number on this sheet is a formula. Change the blue cells on the Inputs sheet.</t>
        </is>
      </c>
    </row>
    <row r="4">
      <c r="A4" s="4" t="inlineStr">
        <is>
          <t>Key outputs</t>
        </is>
      </c>
      <c r="B4" s="5" t="n"/>
      <c r="C4" s="5" t="n"/>
      <c r="D4" s="5" t="n"/>
      <c r="E4" s="5" t="n"/>
      <c r="F4" s="5" t="n"/>
    </row>
    <row r="5">
      <c r="A5" s="16" t="inlineStr">
        <is>
          <t>First month the cash runs out (without new money)</t>
        </is>
      </c>
      <c r="B5" t="inlineStr">
        <is>
          <t>month</t>
        </is>
      </c>
      <c r="C5" s="17">
        <f>IFERROR(MATCH(1,$D$96:$AM$96,0),"Never")</f>
        <v/>
      </c>
      <c r="D5" s="2" t="inlineStr">
        <is>
          <t>Raise your next round well before this month</t>
        </is>
      </c>
    </row>
    <row r="6">
      <c r="A6" s="16" t="inlineStr">
        <is>
          <t>Lowest cash balance</t>
        </is>
      </c>
      <c r="B6" t="inlineStr">
        <is>
          <t>$</t>
        </is>
      </c>
      <c r="C6" s="18">
        <f>MIN($D$91:$AM$91)</f>
        <v/>
      </c>
      <c r="D6" s="2" t="inlineStr">
        <is>
          <t>The tightest month in the plan</t>
        </is>
      </c>
    </row>
    <row r="7">
      <c r="A7" s="16" t="inlineStr">
        <is>
          <t>Month of the lowest cash balance</t>
        </is>
      </c>
      <c r="B7" t="inlineStr">
        <is>
          <t>month</t>
        </is>
      </c>
      <c r="C7" s="17">
        <f>MATCH(C6,$D$91:$AM$91,0)</f>
        <v/>
      </c>
      <c r="D7" s="2" t="inlineStr">
        <is>
          <t>Month number below</t>
        </is>
      </c>
    </row>
    <row r="8">
      <c r="A8" s="16" t="inlineStr">
        <is>
          <t>Month the milestone is reached</t>
        </is>
      </c>
      <c r="B8" t="inlineStr">
        <is>
          <t>month</t>
        </is>
      </c>
      <c r="C8" s="17">
        <f>IFERROR(MATCH(1,$D$97:$AM$97,0),"Not reached")</f>
        <v/>
      </c>
      <c r="D8" s="2" t="inlineStr">
        <is>
          <t>First month robots delivered to date reach the milestone</t>
        </is>
      </c>
    </row>
    <row r="9">
      <c r="A9" s="16" t="inlineStr">
        <is>
          <t>Cash needed to reach the milestone, cushion included</t>
        </is>
      </c>
      <c r="B9" t="inlineStr">
        <is>
          <t>$</t>
        </is>
      </c>
      <c r="C9" s="18">
        <f>MAX(0,-MIN($D$99:$AM$99))+Inputs!$B$12</f>
        <v/>
      </c>
      <c r="D9" s="2" t="inlineStr">
        <is>
          <t>Deepest point of cumulative cash flow before the milestone + cushion</t>
        </is>
      </c>
    </row>
    <row r="10">
      <c r="A10" s="16" t="inlineStr">
        <is>
          <t>Still to raise for the milestone (after cash at the start)</t>
        </is>
      </c>
      <c r="B10" t="inlineStr">
        <is>
          <t>$</t>
        </is>
      </c>
      <c r="C10" s="18">
        <f>MAX(0,C9-Inputs!$B$8)</f>
        <v/>
      </c>
      <c r="D10" s="2" t="inlineStr">
        <is>
          <t>Cash needed - cash in the bank at the start</t>
        </is>
      </c>
    </row>
    <row r="11">
      <c r="A11" s="16" t="inlineStr">
        <is>
          <t>Model checks</t>
        </is>
      </c>
      <c r="B11" t="inlineStr"/>
      <c r="C11" s="19">
        <f>IF(SUMPRODUCT(ABS($D$100:$AM$100))=0,"OK","Check the model")</f>
        <v/>
      </c>
      <c r="D11" s="2" t="inlineStr">
        <is>
          <t>All cash checks are 0</t>
        </is>
      </c>
    </row>
    <row r="13">
      <c r="A13" s="3" t="inlineStr">
        <is>
          <t>Year by year</t>
        </is>
      </c>
      <c r="B13" s="3" t="inlineStr">
        <is>
          <t>Unit</t>
        </is>
      </c>
      <c r="C13" s="20" t="n">
        <v>1</v>
      </c>
      <c r="D13" s="20" t="n">
        <v>2</v>
      </c>
      <c r="E13" s="20" t="n">
        <v>3</v>
      </c>
      <c r="F13" s="3" t="inlineStr">
        <is>
          <t>How it is calculated</t>
        </is>
      </c>
    </row>
    <row r="14">
      <c r="A14" s="21" t="inlineStr">
        <is>
          <t>Robots delivered</t>
        </is>
      </c>
      <c r="B14" t="inlineStr">
        <is>
          <t>robots</t>
        </is>
      </c>
      <c r="C14" s="22">
        <f>SUMIF($D$32:$AM$32,C$13,$D$34:$AM$34)</f>
        <v/>
      </c>
      <c r="D14" s="22">
        <f>SUMIF($D$32:$AM$32,D$13,$D$34:$AM$34)</f>
        <v/>
      </c>
      <c r="E14" s="22">
        <f>SUMIF($D$32:$AM$32,E$13,$D$34:$AM$34)</f>
        <v/>
      </c>
      <c r="F14" s="2" t="inlineStr">
        <is>
          <t>Sum of the months</t>
        </is>
      </c>
    </row>
    <row r="15">
      <c r="A15" s="21" t="inlineStr">
        <is>
          <t>of which rented out (RaaS)</t>
        </is>
      </c>
      <c r="B15" t="inlineStr">
        <is>
          <t>robots</t>
        </is>
      </c>
      <c r="C15" s="22">
        <f>SUMIF($D$32:$AM$32,C$13,$D$35:$AM$35)</f>
        <v/>
      </c>
      <c r="D15" s="22">
        <f>SUMIF($D$32:$AM$32,D$13,$D$35:$AM$35)</f>
        <v/>
      </c>
      <c r="E15" s="22">
        <f>SUMIF($D$32:$AM$32,E$13,$D$35:$AM$35)</f>
        <v/>
      </c>
      <c r="F15" s="2" t="inlineStr">
        <is>
          <t>Sum of the months</t>
        </is>
      </c>
    </row>
    <row r="16">
      <c r="A16" s="21" t="inlineStr">
        <is>
          <t>RaaS fleet at year end</t>
        </is>
      </c>
      <c r="B16" t="inlineStr">
        <is>
          <t>robots</t>
        </is>
      </c>
      <c r="C16" s="22">
        <f>INDEX($D$38:$AM$38,1,C$13*12)</f>
        <v/>
      </c>
      <c r="D16" s="22">
        <f>INDEX($D$38:$AM$38,1,D$13*12)</f>
        <v/>
      </c>
      <c r="E16" s="22">
        <f>INDEX($D$38:$AM$38,1,E$13*12)</f>
        <v/>
      </c>
      <c r="F16" s="2" t="inlineStr">
        <is>
          <t>Month 12, 24 or 36</t>
        </is>
      </c>
    </row>
    <row r="17">
      <c r="A17" s="16" t="inlineStr">
        <is>
          <t>Revenue</t>
        </is>
      </c>
      <c r="B17" t="inlineStr">
        <is>
          <t>$</t>
        </is>
      </c>
      <c r="C17" s="23">
        <f>SUMIF($D$32:$AM$32,C$13,$D$52:$AM$52)</f>
        <v/>
      </c>
      <c r="D17" s="23">
        <f>SUMIF($D$32:$AM$32,D$13,$D$52:$AM$52)</f>
        <v/>
      </c>
      <c r="E17" s="23">
        <f>SUMIF($D$32:$AM$32,E$13,$D$52:$AM$52)</f>
        <v/>
      </c>
      <c r="F17" s="2" t="inlineStr">
        <is>
          <t>Robot sales + RaaS fees</t>
        </is>
      </c>
    </row>
    <row r="18">
      <c r="A18" s="21" t="inlineStr">
        <is>
          <t>Gross profit</t>
        </is>
      </c>
      <c r="B18" t="inlineStr">
        <is>
          <t>$</t>
        </is>
      </c>
      <c r="C18" s="23">
        <f>SUMIF($D$32:$AM$32,C$13,$D$58:$AM$58)</f>
        <v/>
      </c>
      <c r="D18" s="23">
        <f>SUMIF($D$32:$AM$32,D$13,$D$58:$AM$58)</f>
        <v/>
      </c>
      <c r="E18" s="23">
        <f>SUMIF($D$32:$AM$32,E$13,$D$58:$AM$58)</f>
        <v/>
      </c>
      <c r="F18" s="2" t="inlineStr">
        <is>
          <t>Revenue - cost of revenue</t>
        </is>
      </c>
    </row>
    <row r="19">
      <c r="A19" s="21" t="inlineStr">
        <is>
          <t>Gross margin</t>
        </is>
      </c>
      <c r="B19" t="inlineStr">
        <is>
          <t>%</t>
        </is>
      </c>
      <c r="C19" s="24">
        <f>IF(C17=0,0,C18/C17)</f>
        <v/>
      </c>
      <c r="D19" s="24">
        <f>IF(D17=0,0,D18/D17)</f>
        <v/>
      </c>
      <c r="E19" s="24">
        <f>IF(E17=0,0,E18/E17)</f>
        <v/>
      </c>
      <c r="F19" s="2" t="inlineStr">
        <is>
          <t>Gross profit / revenue</t>
        </is>
      </c>
    </row>
    <row r="20">
      <c r="A20" s="16" t="inlineStr">
        <is>
          <t>EBITDA</t>
        </is>
      </c>
      <c r="B20" t="inlineStr">
        <is>
          <t>$</t>
        </is>
      </c>
      <c r="C20" s="23">
        <f>SUMIF($D$32:$AM$32,C$13,$D$68:$AM$68)</f>
        <v/>
      </c>
      <c r="D20" s="23">
        <f>SUMIF($D$32:$AM$32,D$13,$D$68:$AM$68)</f>
        <v/>
      </c>
      <c r="E20" s="23">
        <f>SUMIF($D$32:$AM$32,E$13,$D$68:$AM$68)</f>
        <v/>
      </c>
      <c r="F20" s="2" t="inlineStr">
        <is>
          <t>Sum of the months</t>
        </is>
      </c>
    </row>
    <row r="21">
      <c r="A21" s="21" t="inlineStr">
        <is>
          <t>Profit before tax</t>
        </is>
      </c>
      <c r="B21" t="inlineStr">
        <is>
          <t>$</t>
        </is>
      </c>
      <c r="C21" s="23">
        <f>SUMIF($D$32:$AM$32,C$13,$D$72:$AM$72)</f>
        <v/>
      </c>
      <c r="D21" s="23">
        <f>SUMIF($D$32:$AM$32,D$13,$D$72:$AM$72)</f>
        <v/>
      </c>
      <c r="E21" s="23">
        <f>SUMIF($D$32:$AM$32,E$13,$D$72:$AM$72)</f>
        <v/>
      </c>
      <c r="F21" s="2" t="inlineStr">
        <is>
          <t>Sum of the months</t>
        </is>
      </c>
    </row>
    <row r="22">
      <c r="A22" s="16" t="inlineStr">
        <is>
          <t>Cash at year end</t>
        </is>
      </c>
      <c r="B22" t="inlineStr">
        <is>
          <t>$</t>
        </is>
      </c>
      <c r="C22" s="23">
        <f>INDEX($D$91:$AM$91,1,C$13*12)</f>
        <v/>
      </c>
      <c r="D22" s="23">
        <f>INDEX($D$91:$AM$91,1,D$13*12)</f>
        <v/>
      </c>
      <c r="E22" s="23">
        <f>INDEX($D$91:$AM$91,1,E$13*12)</f>
        <v/>
      </c>
      <c r="F22" s="2" t="inlineStr">
        <is>
          <t>Month 12, 24 or 36</t>
        </is>
      </c>
    </row>
    <row r="23">
      <c r="A23" s="21" t="inlineStr">
        <is>
          <t>Fleet facility owed at year end</t>
        </is>
      </c>
      <c r="B23" t="inlineStr">
        <is>
          <t>$</t>
        </is>
      </c>
      <c r="C23" s="23">
        <f>INDEX($D$87:$AM$87,1,C$13*12)</f>
        <v/>
      </c>
      <c r="D23" s="23">
        <f>INDEX($D$87:$AM$87,1,D$13*12)</f>
        <v/>
      </c>
      <c r="E23" s="23">
        <f>INDEX($D$87:$AM$87,1,E$13*12)</f>
        <v/>
      </c>
      <c r="F23" s="2" t="inlineStr">
        <is>
          <t>Month 12, 24 or 36</t>
        </is>
      </c>
    </row>
    <row r="24">
      <c r="A24" s="21" t="inlineStr">
        <is>
          <t>RaaS fleet capex in the year</t>
        </is>
      </c>
      <c r="B24" t="inlineStr">
        <is>
          <t>$</t>
        </is>
      </c>
      <c r="C24" s="23">
        <f>SUMIF($D$32:$AM$32,C$13,$D$84:$AM$84)</f>
        <v/>
      </c>
      <c r="D24" s="23">
        <f>SUMIF($D$32:$AM$32,D$13,$D$84:$AM$84)</f>
        <v/>
      </c>
      <c r="E24" s="23">
        <f>SUMIF($D$32:$AM$32,E$13,$D$84:$AM$84)</f>
        <v/>
      </c>
      <c r="F24" s="2" t="inlineStr">
        <is>
          <t>Cost of robots rented out</t>
        </is>
      </c>
    </row>
    <row r="26">
      <c r="A26" s="21" t="inlineStr">
        <is>
          <t>Robots in stock at the start (built before month 1)</t>
        </is>
      </c>
      <c r="B26" t="inlineStr">
        <is>
          <t>robots</t>
        </is>
      </c>
      <c r="C26" s="12">
        <f>SUMPRODUCT(($D$30:$AM$30&lt;=Inputs!$B$31)*$D$34:$AM$34)</f>
        <v/>
      </c>
      <c r="D26" s="2" t="inlineStr">
        <is>
          <t>Helper cell (formula)</t>
        </is>
      </c>
    </row>
    <row r="27">
      <c r="A27" s="21" t="inlineStr">
        <is>
          <t>Milestone month used for the cash need</t>
        </is>
      </c>
      <c r="B27" t="inlineStr">
        <is>
          <t>month</t>
        </is>
      </c>
      <c r="C27" s="25">
        <f>IFERROR(MATCH(1,$D$97:$AM$97,0),MAX($D$30:$AM$30))</f>
        <v/>
      </c>
      <c r="D27" s="2" t="inlineStr">
        <is>
          <t>Helper cell (formula)</t>
        </is>
      </c>
    </row>
    <row r="30">
      <c r="A30" s="3" t="inlineStr">
        <is>
          <t>Month</t>
        </is>
      </c>
      <c r="B30" s="3" t="inlineStr">
        <is>
          <t>#</t>
        </is>
      </c>
      <c r="C30" s="3" t="inlineStr">
        <is>
          <t>How it is calculated</t>
        </is>
      </c>
      <c r="D30" s="26">
        <f>1</f>
        <v/>
      </c>
      <c r="E30" s="26">
        <f>D30+1</f>
        <v/>
      </c>
      <c r="F30" s="26">
        <f>E30+1</f>
        <v/>
      </c>
      <c r="G30" s="26">
        <f>F30+1</f>
        <v/>
      </c>
      <c r="H30" s="26">
        <f>G30+1</f>
        <v/>
      </c>
      <c r="I30" s="26">
        <f>H30+1</f>
        <v/>
      </c>
      <c r="J30" s="26">
        <f>I30+1</f>
        <v/>
      </c>
      <c r="K30" s="26">
        <f>J30+1</f>
        <v/>
      </c>
      <c r="L30" s="26">
        <f>K30+1</f>
        <v/>
      </c>
      <c r="M30" s="26">
        <f>L30+1</f>
        <v/>
      </c>
      <c r="N30" s="26">
        <f>M30+1</f>
        <v/>
      </c>
      <c r="O30" s="26">
        <f>N30+1</f>
        <v/>
      </c>
      <c r="P30" s="26">
        <f>O30+1</f>
        <v/>
      </c>
      <c r="Q30" s="26">
        <f>P30+1</f>
        <v/>
      </c>
      <c r="R30" s="26">
        <f>Q30+1</f>
        <v/>
      </c>
      <c r="S30" s="26">
        <f>R30+1</f>
        <v/>
      </c>
      <c r="T30" s="26">
        <f>S30+1</f>
        <v/>
      </c>
      <c r="U30" s="26">
        <f>T30+1</f>
        <v/>
      </c>
      <c r="V30" s="26">
        <f>U30+1</f>
        <v/>
      </c>
      <c r="W30" s="26">
        <f>V30+1</f>
        <v/>
      </c>
      <c r="X30" s="26">
        <f>W30+1</f>
        <v/>
      </c>
      <c r="Y30" s="26">
        <f>X30+1</f>
        <v/>
      </c>
      <c r="Z30" s="26">
        <f>Y30+1</f>
        <v/>
      </c>
      <c r="AA30" s="26">
        <f>Z30+1</f>
        <v/>
      </c>
      <c r="AB30" s="26">
        <f>AA30+1</f>
        <v/>
      </c>
      <c r="AC30" s="26">
        <f>AB30+1</f>
        <v/>
      </c>
      <c r="AD30" s="26">
        <f>AC30+1</f>
        <v/>
      </c>
      <c r="AE30" s="26">
        <f>AD30+1</f>
        <v/>
      </c>
      <c r="AF30" s="26">
        <f>AE30+1</f>
        <v/>
      </c>
      <c r="AG30" s="26">
        <f>AF30+1</f>
        <v/>
      </c>
      <c r="AH30" s="26">
        <f>AG30+1</f>
        <v/>
      </c>
      <c r="AI30" s="26">
        <f>AH30+1</f>
        <v/>
      </c>
      <c r="AJ30" s="26">
        <f>AI30+1</f>
        <v/>
      </c>
      <c r="AK30" s="26">
        <f>AJ30+1</f>
        <v/>
      </c>
      <c r="AL30" s="26">
        <f>AK30+1</f>
        <v/>
      </c>
      <c r="AM30" s="26">
        <f>AL30+1</f>
        <v/>
      </c>
    </row>
    <row r="31">
      <c r="A31" s="21" t="inlineStr">
        <is>
          <t>Date</t>
        </is>
      </c>
      <c r="B31" t="inlineStr"/>
      <c r="C31" s="2" t="inlineStr">
        <is>
          <t>Start month + months gone by</t>
        </is>
      </c>
      <c r="D31" s="27">
        <f>EDATE(Inputs!$B$7,D$30-1)</f>
        <v/>
      </c>
      <c r="E31" s="27">
        <f>EDATE(Inputs!$B$7,E$30-1)</f>
        <v/>
      </c>
      <c r="F31" s="27">
        <f>EDATE(Inputs!$B$7,F$30-1)</f>
        <v/>
      </c>
      <c r="G31" s="27">
        <f>EDATE(Inputs!$B$7,G$30-1)</f>
        <v/>
      </c>
      <c r="H31" s="27">
        <f>EDATE(Inputs!$B$7,H$30-1)</f>
        <v/>
      </c>
      <c r="I31" s="27">
        <f>EDATE(Inputs!$B$7,I$30-1)</f>
        <v/>
      </c>
      <c r="J31" s="27">
        <f>EDATE(Inputs!$B$7,J$30-1)</f>
        <v/>
      </c>
      <c r="K31" s="27">
        <f>EDATE(Inputs!$B$7,K$30-1)</f>
        <v/>
      </c>
      <c r="L31" s="27">
        <f>EDATE(Inputs!$B$7,L$30-1)</f>
        <v/>
      </c>
      <c r="M31" s="27">
        <f>EDATE(Inputs!$B$7,M$30-1)</f>
        <v/>
      </c>
      <c r="N31" s="27">
        <f>EDATE(Inputs!$B$7,N$30-1)</f>
        <v/>
      </c>
      <c r="O31" s="27">
        <f>EDATE(Inputs!$B$7,O$30-1)</f>
        <v/>
      </c>
      <c r="P31" s="27">
        <f>EDATE(Inputs!$B$7,P$30-1)</f>
        <v/>
      </c>
      <c r="Q31" s="27">
        <f>EDATE(Inputs!$B$7,Q$30-1)</f>
        <v/>
      </c>
      <c r="R31" s="27">
        <f>EDATE(Inputs!$B$7,R$30-1)</f>
        <v/>
      </c>
      <c r="S31" s="27">
        <f>EDATE(Inputs!$B$7,S$30-1)</f>
        <v/>
      </c>
      <c r="T31" s="27">
        <f>EDATE(Inputs!$B$7,T$30-1)</f>
        <v/>
      </c>
      <c r="U31" s="27">
        <f>EDATE(Inputs!$B$7,U$30-1)</f>
        <v/>
      </c>
      <c r="V31" s="27">
        <f>EDATE(Inputs!$B$7,V$30-1)</f>
        <v/>
      </c>
      <c r="W31" s="27">
        <f>EDATE(Inputs!$B$7,W$30-1)</f>
        <v/>
      </c>
      <c r="X31" s="27">
        <f>EDATE(Inputs!$B$7,X$30-1)</f>
        <v/>
      </c>
      <c r="Y31" s="27">
        <f>EDATE(Inputs!$B$7,Y$30-1)</f>
        <v/>
      </c>
      <c r="Z31" s="27">
        <f>EDATE(Inputs!$B$7,Z$30-1)</f>
        <v/>
      </c>
      <c r="AA31" s="27">
        <f>EDATE(Inputs!$B$7,AA$30-1)</f>
        <v/>
      </c>
      <c r="AB31" s="27">
        <f>EDATE(Inputs!$B$7,AB$30-1)</f>
        <v/>
      </c>
      <c r="AC31" s="27">
        <f>EDATE(Inputs!$B$7,AC$30-1)</f>
        <v/>
      </c>
      <c r="AD31" s="27">
        <f>EDATE(Inputs!$B$7,AD$30-1)</f>
        <v/>
      </c>
      <c r="AE31" s="27">
        <f>EDATE(Inputs!$B$7,AE$30-1)</f>
        <v/>
      </c>
      <c r="AF31" s="27">
        <f>EDATE(Inputs!$B$7,AF$30-1)</f>
        <v/>
      </c>
      <c r="AG31" s="27">
        <f>EDATE(Inputs!$B$7,AG$30-1)</f>
        <v/>
      </c>
      <c r="AH31" s="27">
        <f>EDATE(Inputs!$B$7,AH$30-1)</f>
        <v/>
      </c>
      <c r="AI31" s="27">
        <f>EDATE(Inputs!$B$7,AI$30-1)</f>
        <v/>
      </c>
      <c r="AJ31" s="27">
        <f>EDATE(Inputs!$B$7,AJ$30-1)</f>
        <v/>
      </c>
      <c r="AK31" s="27">
        <f>EDATE(Inputs!$B$7,AK$30-1)</f>
        <v/>
      </c>
      <c r="AL31" s="27">
        <f>EDATE(Inputs!$B$7,AL$30-1)</f>
        <v/>
      </c>
      <c r="AM31" s="27">
        <f>EDATE(Inputs!$B$7,AM$30-1)</f>
        <v/>
      </c>
    </row>
    <row r="32">
      <c r="A32" s="21" t="inlineStr">
        <is>
          <t>Year</t>
        </is>
      </c>
      <c r="B32" t="inlineStr"/>
      <c r="C32" s="2" t="inlineStr">
        <is>
          <t>Year 1 = months 1-12</t>
        </is>
      </c>
      <c r="D32" s="28">
        <f>INT((D$30-1)/12)+1</f>
        <v/>
      </c>
      <c r="E32" s="28">
        <f>INT((E$30-1)/12)+1</f>
        <v/>
      </c>
      <c r="F32" s="28">
        <f>INT((F$30-1)/12)+1</f>
        <v/>
      </c>
      <c r="G32" s="28">
        <f>INT((G$30-1)/12)+1</f>
        <v/>
      </c>
      <c r="H32" s="28">
        <f>INT((H$30-1)/12)+1</f>
        <v/>
      </c>
      <c r="I32" s="28">
        <f>INT((I$30-1)/12)+1</f>
        <v/>
      </c>
      <c r="J32" s="28">
        <f>INT((J$30-1)/12)+1</f>
        <v/>
      </c>
      <c r="K32" s="28">
        <f>INT((K$30-1)/12)+1</f>
        <v/>
      </c>
      <c r="L32" s="28">
        <f>INT((L$30-1)/12)+1</f>
        <v/>
      </c>
      <c r="M32" s="28">
        <f>INT((M$30-1)/12)+1</f>
        <v/>
      </c>
      <c r="N32" s="28">
        <f>INT((N$30-1)/12)+1</f>
        <v/>
      </c>
      <c r="O32" s="28">
        <f>INT((O$30-1)/12)+1</f>
        <v/>
      </c>
      <c r="P32" s="28">
        <f>INT((P$30-1)/12)+1</f>
        <v/>
      </c>
      <c r="Q32" s="28">
        <f>INT((Q$30-1)/12)+1</f>
        <v/>
      </c>
      <c r="R32" s="28">
        <f>INT((R$30-1)/12)+1</f>
        <v/>
      </c>
      <c r="S32" s="28">
        <f>INT((S$30-1)/12)+1</f>
        <v/>
      </c>
      <c r="T32" s="28">
        <f>INT((T$30-1)/12)+1</f>
        <v/>
      </c>
      <c r="U32" s="28">
        <f>INT((U$30-1)/12)+1</f>
        <v/>
      </c>
      <c r="V32" s="28">
        <f>INT((V$30-1)/12)+1</f>
        <v/>
      </c>
      <c r="W32" s="28">
        <f>INT((W$30-1)/12)+1</f>
        <v/>
      </c>
      <c r="X32" s="28">
        <f>INT((X$30-1)/12)+1</f>
        <v/>
      </c>
      <c r="Y32" s="28">
        <f>INT((Y$30-1)/12)+1</f>
        <v/>
      </c>
      <c r="Z32" s="28">
        <f>INT((Z$30-1)/12)+1</f>
        <v/>
      </c>
      <c r="AA32" s="28">
        <f>INT((AA$30-1)/12)+1</f>
        <v/>
      </c>
      <c r="AB32" s="28">
        <f>INT((AB$30-1)/12)+1</f>
        <v/>
      </c>
      <c r="AC32" s="28">
        <f>INT((AC$30-1)/12)+1</f>
        <v/>
      </c>
      <c r="AD32" s="28">
        <f>INT((AD$30-1)/12)+1</f>
        <v/>
      </c>
      <c r="AE32" s="28">
        <f>INT((AE$30-1)/12)+1</f>
        <v/>
      </c>
      <c r="AF32" s="28">
        <f>INT((AF$30-1)/12)+1</f>
        <v/>
      </c>
      <c r="AG32" s="28">
        <f>INT((AG$30-1)/12)+1</f>
        <v/>
      </c>
      <c r="AH32" s="28">
        <f>INT((AH$30-1)/12)+1</f>
        <v/>
      </c>
      <c r="AI32" s="28">
        <f>INT((AI$30-1)/12)+1</f>
        <v/>
      </c>
      <c r="AJ32" s="28">
        <f>INT((AJ$30-1)/12)+1</f>
        <v/>
      </c>
      <c r="AK32" s="28">
        <f>INT((AK$30-1)/12)+1</f>
        <v/>
      </c>
      <c r="AL32" s="28">
        <f>INT((AL$30-1)/12)+1</f>
        <v/>
      </c>
      <c r="AM32" s="28">
        <f>INT((AM$30-1)/12)+1</f>
        <v/>
      </c>
    </row>
    <row r="33">
      <c r="A33" s="4" t="inlineStr">
        <is>
          <t>Robots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5" t="n"/>
      <c r="AM33" s="5" t="n"/>
    </row>
    <row r="34">
      <c r="A34" s="16" t="inlineStr">
        <is>
          <t>Robots delivered</t>
        </is>
      </c>
      <c r="B34" t="inlineStr">
        <is>
          <t>robots</t>
        </is>
      </c>
      <c r="C34" s="2" t="inlineStr">
        <is>
          <t>First month, then growing each month</t>
        </is>
      </c>
      <c r="D34" s="29">
        <f>IF(D$30&gt;=Inputs!$B$14,ROUND(Inputs!$B$15*(1+Inputs!$B$16)^(D$30-Inputs!$B$14),0),0)</f>
        <v/>
      </c>
      <c r="E34" s="29">
        <f>IF(E$30&gt;=Inputs!$B$14,ROUND(Inputs!$B$15*(1+Inputs!$B$16)^(E$30-Inputs!$B$14),0),0)</f>
        <v/>
      </c>
      <c r="F34" s="29">
        <f>IF(F$30&gt;=Inputs!$B$14,ROUND(Inputs!$B$15*(1+Inputs!$B$16)^(F$30-Inputs!$B$14),0),0)</f>
        <v/>
      </c>
      <c r="G34" s="29">
        <f>IF(G$30&gt;=Inputs!$B$14,ROUND(Inputs!$B$15*(1+Inputs!$B$16)^(G$30-Inputs!$B$14),0),0)</f>
        <v/>
      </c>
      <c r="H34" s="29">
        <f>IF(H$30&gt;=Inputs!$B$14,ROUND(Inputs!$B$15*(1+Inputs!$B$16)^(H$30-Inputs!$B$14),0),0)</f>
        <v/>
      </c>
      <c r="I34" s="29">
        <f>IF(I$30&gt;=Inputs!$B$14,ROUND(Inputs!$B$15*(1+Inputs!$B$16)^(I$30-Inputs!$B$14),0),0)</f>
        <v/>
      </c>
      <c r="J34" s="29">
        <f>IF(J$30&gt;=Inputs!$B$14,ROUND(Inputs!$B$15*(1+Inputs!$B$16)^(J$30-Inputs!$B$14),0),0)</f>
        <v/>
      </c>
      <c r="K34" s="29">
        <f>IF(K$30&gt;=Inputs!$B$14,ROUND(Inputs!$B$15*(1+Inputs!$B$16)^(K$30-Inputs!$B$14),0),0)</f>
        <v/>
      </c>
      <c r="L34" s="29">
        <f>IF(L$30&gt;=Inputs!$B$14,ROUND(Inputs!$B$15*(1+Inputs!$B$16)^(L$30-Inputs!$B$14),0),0)</f>
        <v/>
      </c>
      <c r="M34" s="29">
        <f>IF(M$30&gt;=Inputs!$B$14,ROUND(Inputs!$B$15*(1+Inputs!$B$16)^(M$30-Inputs!$B$14),0),0)</f>
        <v/>
      </c>
      <c r="N34" s="29">
        <f>IF(N$30&gt;=Inputs!$B$14,ROUND(Inputs!$B$15*(1+Inputs!$B$16)^(N$30-Inputs!$B$14),0),0)</f>
        <v/>
      </c>
      <c r="O34" s="29">
        <f>IF(O$30&gt;=Inputs!$B$14,ROUND(Inputs!$B$15*(1+Inputs!$B$16)^(O$30-Inputs!$B$14),0),0)</f>
        <v/>
      </c>
      <c r="P34" s="29">
        <f>IF(P$30&gt;=Inputs!$B$14,ROUND(Inputs!$B$15*(1+Inputs!$B$16)^(P$30-Inputs!$B$14),0),0)</f>
        <v/>
      </c>
      <c r="Q34" s="29">
        <f>IF(Q$30&gt;=Inputs!$B$14,ROUND(Inputs!$B$15*(1+Inputs!$B$16)^(Q$30-Inputs!$B$14),0),0)</f>
        <v/>
      </c>
      <c r="R34" s="29">
        <f>IF(R$30&gt;=Inputs!$B$14,ROUND(Inputs!$B$15*(1+Inputs!$B$16)^(R$30-Inputs!$B$14),0),0)</f>
        <v/>
      </c>
      <c r="S34" s="29">
        <f>IF(S$30&gt;=Inputs!$B$14,ROUND(Inputs!$B$15*(1+Inputs!$B$16)^(S$30-Inputs!$B$14),0),0)</f>
        <v/>
      </c>
      <c r="T34" s="29">
        <f>IF(T$30&gt;=Inputs!$B$14,ROUND(Inputs!$B$15*(1+Inputs!$B$16)^(T$30-Inputs!$B$14),0),0)</f>
        <v/>
      </c>
      <c r="U34" s="29">
        <f>IF(U$30&gt;=Inputs!$B$14,ROUND(Inputs!$B$15*(1+Inputs!$B$16)^(U$30-Inputs!$B$14),0),0)</f>
        <v/>
      </c>
      <c r="V34" s="29">
        <f>IF(V$30&gt;=Inputs!$B$14,ROUND(Inputs!$B$15*(1+Inputs!$B$16)^(V$30-Inputs!$B$14),0),0)</f>
        <v/>
      </c>
      <c r="W34" s="29">
        <f>IF(W$30&gt;=Inputs!$B$14,ROUND(Inputs!$B$15*(1+Inputs!$B$16)^(W$30-Inputs!$B$14),0),0)</f>
        <v/>
      </c>
      <c r="X34" s="29">
        <f>IF(X$30&gt;=Inputs!$B$14,ROUND(Inputs!$B$15*(1+Inputs!$B$16)^(X$30-Inputs!$B$14),0),0)</f>
        <v/>
      </c>
      <c r="Y34" s="29">
        <f>IF(Y$30&gt;=Inputs!$B$14,ROUND(Inputs!$B$15*(1+Inputs!$B$16)^(Y$30-Inputs!$B$14),0),0)</f>
        <v/>
      </c>
      <c r="Z34" s="29">
        <f>IF(Z$30&gt;=Inputs!$B$14,ROUND(Inputs!$B$15*(1+Inputs!$B$16)^(Z$30-Inputs!$B$14),0),0)</f>
        <v/>
      </c>
      <c r="AA34" s="29">
        <f>IF(AA$30&gt;=Inputs!$B$14,ROUND(Inputs!$B$15*(1+Inputs!$B$16)^(AA$30-Inputs!$B$14),0),0)</f>
        <v/>
      </c>
      <c r="AB34" s="29">
        <f>IF(AB$30&gt;=Inputs!$B$14,ROUND(Inputs!$B$15*(1+Inputs!$B$16)^(AB$30-Inputs!$B$14),0),0)</f>
        <v/>
      </c>
      <c r="AC34" s="29">
        <f>IF(AC$30&gt;=Inputs!$B$14,ROUND(Inputs!$B$15*(1+Inputs!$B$16)^(AC$30-Inputs!$B$14),0),0)</f>
        <v/>
      </c>
      <c r="AD34" s="29">
        <f>IF(AD$30&gt;=Inputs!$B$14,ROUND(Inputs!$B$15*(1+Inputs!$B$16)^(AD$30-Inputs!$B$14),0),0)</f>
        <v/>
      </c>
      <c r="AE34" s="29">
        <f>IF(AE$30&gt;=Inputs!$B$14,ROUND(Inputs!$B$15*(1+Inputs!$B$16)^(AE$30-Inputs!$B$14),0),0)</f>
        <v/>
      </c>
      <c r="AF34" s="29">
        <f>IF(AF$30&gt;=Inputs!$B$14,ROUND(Inputs!$B$15*(1+Inputs!$B$16)^(AF$30-Inputs!$B$14),0),0)</f>
        <v/>
      </c>
      <c r="AG34" s="29">
        <f>IF(AG$30&gt;=Inputs!$B$14,ROUND(Inputs!$B$15*(1+Inputs!$B$16)^(AG$30-Inputs!$B$14),0),0)</f>
        <v/>
      </c>
      <c r="AH34" s="29">
        <f>IF(AH$30&gt;=Inputs!$B$14,ROUND(Inputs!$B$15*(1+Inputs!$B$16)^(AH$30-Inputs!$B$14),0),0)</f>
        <v/>
      </c>
      <c r="AI34" s="29">
        <f>IF(AI$30&gt;=Inputs!$B$14,ROUND(Inputs!$B$15*(1+Inputs!$B$16)^(AI$30-Inputs!$B$14),0),0)</f>
        <v/>
      </c>
      <c r="AJ34" s="29">
        <f>IF(AJ$30&gt;=Inputs!$B$14,ROUND(Inputs!$B$15*(1+Inputs!$B$16)^(AJ$30-Inputs!$B$14),0),0)</f>
        <v/>
      </c>
      <c r="AK34" s="29">
        <f>IF(AK$30&gt;=Inputs!$B$14,ROUND(Inputs!$B$15*(1+Inputs!$B$16)^(AK$30-Inputs!$B$14),0),0)</f>
        <v/>
      </c>
      <c r="AL34" s="29">
        <f>IF(AL$30&gt;=Inputs!$B$14,ROUND(Inputs!$B$15*(1+Inputs!$B$16)^(AL$30-Inputs!$B$14),0),0)</f>
        <v/>
      </c>
      <c r="AM34" s="29">
        <f>IF(AM$30&gt;=Inputs!$B$14,ROUND(Inputs!$B$15*(1+Inputs!$B$16)^(AM$30-Inputs!$B$14),0),0)</f>
        <v/>
      </c>
    </row>
    <row r="35">
      <c r="A35" s="21" t="inlineStr">
        <is>
          <t>of which rented out (RaaS)</t>
        </is>
      </c>
      <c r="B35" t="inlineStr">
        <is>
          <t>robots</t>
        </is>
      </c>
      <c r="C35" s="2" t="inlineStr">
        <is>
          <t>Delivered x RaaS share</t>
        </is>
      </c>
      <c r="D35" s="22">
        <f>ROUND(D34*Inputs!$B$17,0)</f>
        <v/>
      </c>
      <c r="E35" s="22">
        <f>ROUND(E34*Inputs!$B$17,0)</f>
        <v/>
      </c>
      <c r="F35" s="22">
        <f>ROUND(F34*Inputs!$B$17,0)</f>
        <v/>
      </c>
      <c r="G35" s="22">
        <f>ROUND(G34*Inputs!$B$17,0)</f>
        <v/>
      </c>
      <c r="H35" s="22">
        <f>ROUND(H34*Inputs!$B$17,0)</f>
        <v/>
      </c>
      <c r="I35" s="22">
        <f>ROUND(I34*Inputs!$B$17,0)</f>
        <v/>
      </c>
      <c r="J35" s="22">
        <f>ROUND(J34*Inputs!$B$17,0)</f>
        <v/>
      </c>
      <c r="K35" s="22">
        <f>ROUND(K34*Inputs!$B$17,0)</f>
        <v/>
      </c>
      <c r="L35" s="22">
        <f>ROUND(L34*Inputs!$B$17,0)</f>
        <v/>
      </c>
      <c r="M35" s="22">
        <f>ROUND(M34*Inputs!$B$17,0)</f>
        <v/>
      </c>
      <c r="N35" s="22">
        <f>ROUND(N34*Inputs!$B$17,0)</f>
        <v/>
      </c>
      <c r="O35" s="22">
        <f>ROUND(O34*Inputs!$B$17,0)</f>
        <v/>
      </c>
      <c r="P35" s="22">
        <f>ROUND(P34*Inputs!$B$17,0)</f>
        <v/>
      </c>
      <c r="Q35" s="22">
        <f>ROUND(Q34*Inputs!$B$17,0)</f>
        <v/>
      </c>
      <c r="R35" s="22">
        <f>ROUND(R34*Inputs!$B$17,0)</f>
        <v/>
      </c>
      <c r="S35" s="22">
        <f>ROUND(S34*Inputs!$B$17,0)</f>
        <v/>
      </c>
      <c r="T35" s="22">
        <f>ROUND(T34*Inputs!$B$17,0)</f>
        <v/>
      </c>
      <c r="U35" s="22">
        <f>ROUND(U34*Inputs!$B$17,0)</f>
        <v/>
      </c>
      <c r="V35" s="22">
        <f>ROUND(V34*Inputs!$B$17,0)</f>
        <v/>
      </c>
      <c r="W35" s="22">
        <f>ROUND(W34*Inputs!$B$17,0)</f>
        <v/>
      </c>
      <c r="X35" s="22">
        <f>ROUND(X34*Inputs!$B$17,0)</f>
        <v/>
      </c>
      <c r="Y35" s="22">
        <f>ROUND(Y34*Inputs!$B$17,0)</f>
        <v/>
      </c>
      <c r="Z35" s="22">
        <f>ROUND(Z34*Inputs!$B$17,0)</f>
        <v/>
      </c>
      <c r="AA35" s="22">
        <f>ROUND(AA34*Inputs!$B$17,0)</f>
        <v/>
      </c>
      <c r="AB35" s="22">
        <f>ROUND(AB34*Inputs!$B$17,0)</f>
        <v/>
      </c>
      <c r="AC35" s="22">
        <f>ROUND(AC34*Inputs!$B$17,0)</f>
        <v/>
      </c>
      <c r="AD35" s="22">
        <f>ROUND(AD34*Inputs!$B$17,0)</f>
        <v/>
      </c>
      <c r="AE35" s="22">
        <f>ROUND(AE34*Inputs!$B$17,0)</f>
        <v/>
      </c>
      <c r="AF35" s="22">
        <f>ROUND(AF34*Inputs!$B$17,0)</f>
        <v/>
      </c>
      <c r="AG35" s="22">
        <f>ROUND(AG34*Inputs!$B$17,0)</f>
        <v/>
      </c>
      <c r="AH35" s="22">
        <f>ROUND(AH34*Inputs!$B$17,0)</f>
        <v/>
      </c>
      <c r="AI35" s="22">
        <f>ROUND(AI34*Inputs!$B$17,0)</f>
        <v/>
      </c>
      <c r="AJ35" s="22">
        <f>ROUND(AJ34*Inputs!$B$17,0)</f>
        <v/>
      </c>
      <c r="AK35" s="22">
        <f>ROUND(AK34*Inputs!$B$17,0)</f>
        <v/>
      </c>
      <c r="AL35" s="22">
        <f>ROUND(AL34*Inputs!$B$17,0)</f>
        <v/>
      </c>
      <c r="AM35" s="22">
        <f>ROUND(AM34*Inputs!$B$17,0)</f>
        <v/>
      </c>
    </row>
    <row r="36">
      <c r="A36" s="21" t="inlineStr">
        <is>
          <t>of which sold</t>
        </is>
      </c>
      <c r="B36" t="inlineStr">
        <is>
          <t>robots</t>
        </is>
      </c>
      <c r="C36" s="2" t="inlineStr">
        <is>
          <t>Delivered - rented out</t>
        </is>
      </c>
      <c r="D36" s="22">
        <f>D34-D35</f>
        <v/>
      </c>
      <c r="E36" s="22">
        <f>E34-E35</f>
        <v/>
      </c>
      <c r="F36" s="22">
        <f>F34-F35</f>
        <v/>
      </c>
      <c r="G36" s="22">
        <f>G34-G35</f>
        <v/>
      </c>
      <c r="H36" s="22">
        <f>H34-H35</f>
        <v/>
      </c>
      <c r="I36" s="22">
        <f>I34-I35</f>
        <v/>
      </c>
      <c r="J36" s="22">
        <f>J34-J35</f>
        <v/>
      </c>
      <c r="K36" s="22">
        <f>K34-K35</f>
        <v/>
      </c>
      <c r="L36" s="22">
        <f>L34-L35</f>
        <v/>
      </c>
      <c r="M36" s="22">
        <f>M34-M35</f>
        <v/>
      </c>
      <c r="N36" s="22">
        <f>N34-N35</f>
        <v/>
      </c>
      <c r="O36" s="22">
        <f>O34-O35</f>
        <v/>
      </c>
      <c r="P36" s="22">
        <f>P34-P35</f>
        <v/>
      </c>
      <c r="Q36" s="22">
        <f>Q34-Q35</f>
        <v/>
      </c>
      <c r="R36" s="22">
        <f>R34-R35</f>
        <v/>
      </c>
      <c r="S36" s="22">
        <f>S34-S35</f>
        <v/>
      </c>
      <c r="T36" s="22">
        <f>T34-T35</f>
        <v/>
      </c>
      <c r="U36" s="22">
        <f>U34-U35</f>
        <v/>
      </c>
      <c r="V36" s="22">
        <f>V34-V35</f>
        <v/>
      </c>
      <c r="W36" s="22">
        <f>W34-W35</f>
        <v/>
      </c>
      <c r="X36" s="22">
        <f>X34-X35</f>
        <v/>
      </c>
      <c r="Y36" s="22">
        <f>Y34-Y35</f>
        <v/>
      </c>
      <c r="Z36" s="22">
        <f>Z34-Z35</f>
        <v/>
      </c>
      <c r="AA36" s="22">
        <f>AA34-AA35</f>
        <v/>
      </c>
      <c r="AB36" s="22">
        <f>AB34-AB35</f>
        <v/>
      </c>
      <c r="AC36" s="22">
        <f>AC34-AC35</f>
        <v/>
      </c>
      <c r="AD36" s="22">
        <f>AD34-AD35</f>
        <v/>
      </c>
      <c r="AE36" s="22">
        <f>AE34-AE35</f>
        <v/>
      </c>
      <c r="AF36" s="22">
        <f>AF34-AF35</f>
        <v/>
      </c>
      <c r="AG36" s="22">
        <f>AG34-AG35</f>
        <v/>
      </c>
      <c r="AH36" s="22">
        <f>AH34-AH35</f>
        <v/>
      </c>
      <c r="AI36" s="22">
        <f>AI34-AI35</f>
        <v/>
      </c>
      <c r="AJ36" s="22">
        <f>AJ34-AJ35</f>
        <v/>
      </c>
      <c r="AK36" s="22">
        <f>AK34-AK35</f>
        <v/>
      </c>
      <c r="AL36" s="22">
        <f>AL34-AL35</f>
        <v/>
      </c>
      <c r="AM36" s="22">
        <f>AM34-AM35</f>
        <v/>
      </c>
    </row>
    <row r="37">
      <c r="A37" s="21" t="inlineStr">
        <is>
          <t>Robots delivered to date</t>
        </is>
      </c>
      <c r="B37" t="inlineStr">
        <is>
          <t>robots</t>
        </is>
      </c>
      <c r="C37" s="2" t="inlineStr">
        <is>
          <t>Running total</t>
        </is>
      </c>
      <c r="D37" s="22">
        <f>D34</f>
        <v/>
      </c>
      <c r="E37" s="22">
        <f>D37+E34</f>
        <v/>
      </c>
      <c r="F37" s="22">
        <f>E37+F34</f>
        <v/>
      </c>
      <c r="G37" s="22">
        <f>F37+G34</f>
        <v/>
      </c>
      <c r="H37" s="22">
        <f>G37+H34</f>
        <v/>
      </c>
      <c r="I37" s="22">
        <f>H37+I34</f>
        <v/>
      </c>
      <c r="J37" s="22">
        <f>I37+J34</f>
        <v/>
      </c>
      <c r="K37" s="22">
        <f>J37+K34</f>
        <v/>
      </c>
      <c r="L37" s="22">
        <f>K37+L34</f>
        <v/>
      </c>
      <c r="M37" s="22">
        <f>L37+M34</f>
        <v/>
      </c>
      <c r="N37" s="22">
        <f>M37+N34</f>
        <v/>
      </c>
      <c r="O37" s="22">
        <f>N37+O34</f>
        <v/>
      </c>
      <c r="P37" s="22">
        <f>O37+P34</f>
        <v/>
      </c>
      <c r="Q37" s="22">
        <f>P37+Q34</f>
        <v/>
      </c>
      <c r="R37" s="22">
        <f>Q37+R34</f>
        <v/>
      </c>
      <c r="S37" s="22">
        <f>R37+S34</f>
        <v/>
      </c>
      <c r="T37" s="22">
        <f>S37+T34</f>
        <v/>
      </c>
      <c r="U37" s="22">
        <f>T37+U34</f>
        <v/>
      </c>
      <c r="V37" s="22">
        <f>U37+V34</f>
        <v/>
      </c>
      <c r="W37" s="22">
        <f>V37+W34</f>
        <v/>
      </c>
      <c r="X37" s="22">
        <f>W37+X34</f>
        <v/>
      </c>
      <c r="Y37" s="22">
        <f>X37+Y34</f>
        <v/>
      </c>
      <c r="Z37" s="22">
        <f>Y37+Z34</f>
        <v/>
      </c>
      <c r="AA37" s="22">
        <f>Z37+AA34</f>
        <v/>
      </c>
      <c r="AB37" s="22">
        <f>AA37+AB34</f>
        <v/>
      </c>
      <c r="AC37" s="22">
        <f>AB37+AC34</f>
        <v/>
      </c>
      <c r="AD37" s="22">
        <f>AC37+AD34</f>
        <v/>
      </c>
      <c r="AE37" s="22">
        <f>AD37+AE34</f>
        <v/>
      </c>
      <c r="AF37" s="22">
        <f>AE37+AF34</f>
        <v/>
      </c>
      <c r="AG37" s="22">
        <f>AF37+AG34</f>
        <v/>
      </c>
      <c r="AH37" s="22">
        <f>AG37+AH34</f>
        <v/>
      </c>
      <c r="AI37" s="22">
        <f>AH37+AI34</f>
        <v/>
      </c>
      <c r="AJ37" s="22">
        <f>AI37+AJ34</f>
        <v/>
      </c>
      <c r="AK37" s="22">
        <f>AJ37+AK34</f>
        <v/>
      </c>
      <c r="AL37" s="22">
        <f>AK37+AL34</f>
        <v/>
      </c>
      <c r="AM37" s="22">
        <f>AL37+AM34</f>
        <v/>
      </c>
    </row>
    <row r="38">
      <c r="A38" s="21" t="inlineStr">
        <is>
          <t>RaaS fleet in the field</t>
        </is>
      </c>
      <c r="B38" t="inlineStr">
        <is>
          <t>robots</t>
        </is>
      </c>
      <c r="C38" s="2" t="inlineStr">
        <is>
          <t>Running total of rented robots</t>
        </is>
      </c>
      <c r="D38" s="22">
        <f>D35</f>
        <v/>
      </c>
      <c r="E38" s="22">
        <f>D38+E35</f>
        <v/>
      </c>
      <c r="F38" s="22">
        <f>E38+F35</f>
        <v/>
      </c>
      <c r="G38" s="22">
        <f>F38+G35</f>
        <v/>
      </c>
      <c r="H38" s="22">
        <f>G38+H35</f>
        <v/>
      </c>
      <c r="I38" s="22">
        <f>H38+I35</f>
        <v/>
      </c>
      <c r="J38" s="22">
        <f>I38+J35</f>
        <v/>
      </c>
      <c r="K38" s="22">
        <f>J38+K35</f>
        <v/>
      </c>
      <c r="L38" s="22">
        <f>K38+L35</f>
        <v/>
      </c>
      <c r="M38" s="22">
        <f>L38+M35</f>
        <v/>
      </c>
      <c r="N38" s="22">
        <f>M38+N35</f>
        <v/>
      </c>
      <c r="O38" s="22">
        <f>N38+O35</f>
        <v/>
      </c>
      <c r="P38" s="22">
        <f>O38+P35</f>
        <v/>
      </c>
      <c r="Q38" s="22">
        <f>P38+Q35</f>
        <v/>
      </c>
      <c r="R38" s="22">
        <f>Q38+R35</f>
        <v/>
      </c>
      <c r="S38" s="22">
        <f>R38+S35</f>
        <v/>
      </c>
      <c r="T38" s="22">
        <f>S38+T35</f>
        <v/>
      </c>
      <c r="U38" s="22">
        <f>T38+U35</f>
        <v/>
      </c>
      <c r="V38" s="22">
        <f>U38+V35</f>
        <v/>
      </c>
      <c r="W38" s="22">
        <f>V38+W35</f>
        <v/>
      </c>
      <c r="X38" s="22">
        <f>W38+X35</f>
        <v/>
      </c>
      <c r="Y38" s="22">
        <f>X38+Y35</f>
        <v/>
      </c>
      <c r="Z38" s="22">
        <f>Y38+Z35</f>
        <v/>
      </c>
      <c r="AA38" s="22">
        <f>Z38+AA35</f>
        <v/>
      </c>
      <c r="AB38" s="22">
        <f>AA38+AB35</f>
        <v/>
      </c>
      <c r="AC38" s="22">
        <f>AB38+AC35</f>
        <v/>
      </c>
      <c r="AD38" s="22">
        <f>AC38+AD35</f>
        <v/>
      </c>
      <c r="AE38" s="22">
        <f>AD38+AE35</f>
        <v/>
      </c>
      <c r="AF38" s="22">
        <f>AE38+AF35</f>
        <v/>
      </c>
      <c r="AG38" s="22">
        <f>AF38+AG35</f>
        <v/>
      </c>
      <c r="AH38" s="22">
        <f>AG38+AH35</f>
        <v/>
      </c>
      <c r="AI38" s="22">
        <f>AH38+AI35</f>
        <v/>
      </c>
      <c r="AJ38" s="22">
        <f>AI38+AJ35</f>
        <v/>
      </c>
      <c r="AK38" s="22">
        <f>AJ38+AK35</f>
        <v/>
      </c>
      <c r="AL38" s="22">
        <f>AK38+AL35</f>
        <v/>
      </c>
      <c r="AM38" s="22">
        <f>AL38+AM35</f>
        <v/>
      </c>
    </row>
    <row r="39">
      <c r="A39" s="21" t="inlineStr">
        <is>
          <t>Robots built this month</t>
        </is>
      </c>
      <c r="B39" t="inlineStr">
        <is>
          <t>robots</t>
        </is>
      </c>
      <c r="C39" s="2" t="inlineStr">
        <is>
          <t>Robots due for delivery after the build lead time</t>
        </is>
      </c>
      <c r="D39" s="22">
        <f>IF(D$30+Inputs!$B$31&gt;=Inputs!$B$14,ROUND(Inputs!$B$15*(1+Inputs!$B$16)^(D$30+Inputs!$B$31-Inputs!$B$14),0),0)</f>
        <v/>
      </c>
      <c r="E39" s="22">
        <f>IF(E$30+Inputs!$B$31&gt;=Inputs!$B$14,ROUND(Inputs!$B$15*(1+Inputs!$B$16)^(E$30+Inputs!$B$31-Inputs!$B$14),0),0)</f>
        <v/>
      </c>
      <c r="F39" s="22">
        <f>IF(F$30+Inputs!$B$31&gt;=Inputs!$B$14,ROUND(Inputs!$B$15*(1+Inputs!$B$16)^(F$30+Inputs!$B$31-Inputs!$B$14),0),0)</f>
        <v/>
      </c>
      <c r="G39" s="22">
        <f>IF(G$30+Inputs!$B$31&gt;=Inputs!$B$14,ROUND(Inputs!$B$15*(1+Inputs!$B$16)^(G$30+Inputs!$B$31-Inputs!$B$14),0),0)</f>
        <v/>
      </c>
      <c r="H39" s="22">
        <f>IF(H$30+Inputs!$B$31&gt;=Inputs!$B$14,ROUND(Inputs!$B$15*(1+Inputs!$B$16)^(H$30+Inputs!$B$31-Inputs!$B$14),0),0)</f>
        <v/>
      </c>
      <c r="I39" s="22">
        <f>IF(I$30+Inputs!$B$31&gt;=Inputs!$B$14,ROUND(Inputs!$B$15*(1+Inputs!$B$16)^(I$30+Inputs!$B$31-Inputs!$B$14),0),0)</f>
        <v/>
      </c>
      <c r="J39" s="22">
        <f>IF(J$30+Inputs!$B$31&gt;=Inputs!$B$14,ROUND(Inputs!$B$15*(1+Inputs!$B$16)^(J$30+Inputs!$B$31-Inputs!$B$14),0),0)</f>
        <v/>
      </c>
      <c r="K39" s="22">
        <f>IF(K$30+Inputs!$B$31&gt;=Inputs!$B$14,ROUND(Inputs!$B$15*(1+Inputs!$B$16)^(K$30+Inputs!$B$31-Inputs!$B$14),0),0)</f>
        <v/>
      </c>
      <c r="L39" s="22">
        <f>IF(L$30+Inputs!$B$31&gt;=Inputs!$B$14,ROUND(Inputs!$B$15*(1+Inputs!$B$16)^(L$30+Inputs!$B$31-Inputs!$B$14),0),0)</f>
        <v/>
      </c>
      <c r="M39" s="22">
        <f>IF(M$30+Inputs!$B$31&gt;=Inputs!$B$14,ROUND(Inputs!$B$15*(1+Inputs!$B$16)^(M$30+Inputs!$B$31-Inputs!$B$14),0),0)</f>
        <v/>
      </c>
      <c r="N39" s="22">
        <f>IF(N$30+Inputs!$B$31&gt;=Inputs!$B$14,ROUND(Inputs!$B$15*(1+Inputs!$B$16)^(N$30+Inputs!$B$31-Inputs!$B$14),0),0)</f>
        <v/>
      </c>
      <c r="O39" s="22">
        <f>IF(O$30+Inputs!$B$31&gt;=Inputs!$B$14,ROUND(Inputs!$B$15*(1+Inputs!$B$16)^(O$30+Inputs!$B$31-Inputs!$B$14),0),0)</f>
        <v/>
      </c>
      <c r="P39" s="22">
        <f>IF(P$30+Inputs!$B$31&gt;=Inputs!$B$14,ROUND(Inputs!$B$15*(1+Inputs!$B$16)^(P$30+Inputs!$B$31-Inputs!$B$14),0),0)</f>
        <v/>
      </c>
      <c r="Q39" s="22">
        <f>IF(Q$30+Inputs!$B$31&gt;=Inputs!$B$14,ROUND(Inputs!$B$15*(1+Inputs!$B$16)^(Q$30+Inputs!$B$31-Inputs!$B$14),0),0)</f>
        <v/>
      </c>
      <c r="R39" s="22">
        <f>IF(R$30+Inputs!$B$31&gt;=Inputs!$B$14,ROUND(Inputs!$B$15*(1+Inputs!$B$16)^(R$30+Inputs!$B$31-Inputs!$B$14),0),0)</f>
        <v/>
      </c>
      <c r="S39" s="22">
        <f>IF(S$30+Inputs!$B$31&gt;=Inputs!$B$14,ROUND(Inputs!$B$15*(1+Inputs!$B$16)^(S$30+Inputs!$B$31-Inputs!$B$14),0),0)</f>
        <v/>
      </c>
      <c r="T39" s="22">
        <f>IF(T$30+Inputs!$B$31&gt;=Inputs!$B$14,ROUND(Inputs!$B$15*(1+Inputs!$B$16)^(T$30+Inputs!$B$31-Inputs!$B$14),0),0)</f>
        <v/>
      </c>
      <c r="U39" s="22">
        <f>IF(U$30+Inputs!$B$31&gt;=Inputs!$B$14,ROUND(Inputs!$B$15*(1+Inputs!$B$16)^(U$30+Inputs!$B$31-Inputs!$B$14),0),0)</f>
        <v/>
      </c>
      <c r="V39" s="22">
        <f>IF(V$30+Inputs!$B$31&gt;=Inputs!$B$14,ROUND(Inputs!$B$15*(1+Inputs!$B$16)^(V$30+Inputs!$B$31-Inputs!$B$14),0),0)</f>
        <v/>
      </c>
      <c r="W39" s="22">
        <f>IF(W$30+Inputs!$B$31&gt;=Inputs!$B$14,ROUND(Inputs!$B$15*(1+Inputs!$B$16)^(W$30+Inputs!$B$31-Inputs!$B$14),0),0)</f>
        <v/>
      </c>
      <c r="X39" s="22">
        <f>IF(X$30+Inputs!$B$31&gt;=Inputs!$B$14,ROUND(Inputs!$B$15*(1+Inputs!$B$16)^(X$30+Inputs!$B$31-Inputs!$B$14),0),0)</f>
        <v/>
      </c>
      <c r="Y39" s="22">
        <f>IF(Y$30+Inputs!$B$31&gt;=Inputs!$B$14,ROUND(Inputs!$B$15*(1+Inputs!$B$16)^(Y$30+Inputs!$B$31-Inputs!$B$14),0),0)</f>
        <v/>
      </c>
      <c r="Z39" s="22">
        <f>IF(Z$30+Inputs!$B$31&gt;=Inputs!$B$14,ROUND(Inputs!$B$15*(1+Inputs!$B$16)^(Z$30+Inputs!$B$31-Inputs!$B$14),0),0)</f>
        <v/>
      </c>
      <c r="AA39" s="22">
        <f>IF(AA$30+Inputs!$B$31&gt;=Inputs!$B$14,ROUND(Inputs!$B$15*(1+Inputs!$B$16)^(AA$30+Inputs!$B$31-Inputs!$B$14),0),0)</f>
        <v/>
      </c>
      <c r="AB39" s="22">
        <f>IF(AB$30+Inputs!$B$31&gt;=Inputs!$B$14,ROUND(Inputs!$B$15*(1+Inputs!$B$16)^(AB$30+Inputs!$B$31-Inputs!$B$14),0),0)</f>
        <v/>
      </c>
      <c r="AC39" s="22">
        <f>IF(AC$30+Inputs!$B$31&gt;=Inputs!$B$14,ROUND(Inputs!$B$15*(1+Inputs!$B$16)^(AC$30+Inputs!$B$31-Inputs!$B$14),0),0)</f>
        <v/>
      </c>
      <c r="AD39" s="22">
        <f>IF(AD$30+Inputs!$B$31&gt;=Inputs!$B$14,ROUND(Inputs!$B$15*(1+Inputs!$B$16)^(AD$30+Inputs!$B$31-Inputs!$B$14),0),0)</f>
        <v/>
      </c>
      <c r="AE39" s="22">
        <f>IF(AE$30+Inputs!$B$31&gt;=Inputs!$B$14,ROUND(Inputs!$B$15*(1+Inputs!$B$16)^(AE$30+Inputs!$B$31-Inputs!$B$14),0),0)</f>
        <v/>
      </c>
      <c r="AF39" s="22">
        <f>IF(AF$30+Inputs!$B$31&gt;=Inputs!$B$14,ROUND(Inputs!$B$15*(1+Inputs!$B$16)^(AF$30+Inputs!$B$31-Inputs!$B$14),0),0)</f>
        <v/>
      </c>
      <c r="AG39" s="22">
        <f>IF(AG$30+Inputs!$B$31&gt;=Inputs!$B$14,ROUND(Inputs!$B$15*(1+Inputs!$B$16)^(AG$30+Inputs!$B$31-Inputs!$B$14),0),0)</f>
        <v/>
      </c>
      <c r="AH39" s="22">
        <f>IF(AH$30+Inputs!$B$31&gt;=Inputs!$B$14,ROUND(Inputs!$B$15*(1+Inputs!$B$16)^(AH$30+Inputs!$B$31-Inputs!$B$14),0),0)</f>
        <v/>
      </c>
      <c r="AI39" s="22">
        <f>IF(AI$30+Inputs!$B$31&gt;=Inputs!$B$14,ROUND(Inputs!$B$15*(1+Inputs!$B$16)^(AI$30+Inputs!$B$31-Inputs!$B$14),0),0)</f>
        <v/>
      </c>
      <c r="AJ39" s="22">
        <f>IF(AJ$30+Inputs!$B$31&gt;=Inputs!$B$14,ROUND(Inputs!$B$15*(1+Inputs!$B$16)^(AJ$30+Inputs!$B$31-Inputs!$B$14),0),0)</f>
        <v/>
      </c>
      <c r="AK39" s="22">
        <f>IF(AK$30+Inputs!$B$31&gt;=Inputs!$B$14,ROUND(Inputs!$B$15*(1+Inputs!$B$16)^(AK$30+Inputs!$B$31-Inputs!$B$14),0),0)</f>
        <v/>
      </c>
      <c r="AL39" s="22">
        <f>IF(AL$30+Inputs!$B$31&gt;=Inputs!$B$14,ROUND(Inputs!$B$15*(1+Inputs!$B$16)^(AL$30+Inputs!$B$31-Inputs!$B$14),0),0)</f>
        <v/>
      </c>
      <c r="AM39" s="22">
        <f>IF(AM$30+Inputs!$B$31&gt;=Inputs!$B$14,ROUND(Inputs!$B$15*(1+Inputs!$B$16)^(AM$30+Inputs!$B$31-Inputs!$B$14),0),0)</f>
        <v/>
      </c>
    </row>
    <row r="40">
      <c r="A40" s="21" t="inlineStr">
        <is>
          <t>Robots built before this month</t>
        </is>
      </c>
      <c r="B40" t="inlineStr">
        <is>
          <t>robots</t>
        </is>
      </c>
      <c r="C40" s="2" t="inlineStr">
        <is>
          <t>Running total, before this month</t>
        </is>
      </c>
      <c r="D40" s="22">
        <f>0</f>
        <v/>
      </c>
      <c r="E40" s="22">
        <f>D40+D39</f>
        <v/>
      </c>
      <c r="F40" s="22">
        <f>E40+E39</f>
        <v/>
      </c>
      <c r="G40" s="22">
        <f>F40+F39</f>
        <v/>
      </c>
      <c r="H40" s="22">
        <f>G40+G39</f>
        <v/>
      </c>
      <c r="I40" s="22">
        <f>H40+H39</f>
        <v/>
      </c>
      <c r="J40" s="22">
        <f>I40+I39</f>
        <v/>
      </c>
      <c r="K40" s="22">
        <f>J40+J39</f>
        <v/>
      </c>
      <c r="L40" s="22">
        <f>K40+K39</f>
        <v/>
      </c>
      <c r="M40" s="22">
        <f>L40+L39</f>
        <v/>
      </c>
      <c r="N40" s="22">
        <f>M40+M39</f>
        <v/>
      </c>
      <c r="O40" s="22">
        <f>N40+N39</f>
        <v/>
      </c>
      <c r="P40" s="22">
        <f>O40+O39</f>
        <v/>
      </c>
      <c r="Q40" s="22">
        <f>P40+P39</f>
        <v/>
      </c>
      <c r="R40" s="22">
        <f>Q40+Q39</f>
        <v/>
      </c>
      <c r="S40" s="22">
        <f>R40+R39</f>
        <v/>
      </c>
      <c r="T40" s="22">
        <f>S40+S39</f>
        <v/>
      </c>
      <c r="U40" s="22">
        <f>T40+T39</f>
        <v/>
      </c>
      <c r="V40" s="22">
        <f>U40+U39</f>
        <v/>
      </c>
      <c r="W40" s="22">
        <f>V40+V39</f>
        <v/>
      </c>
      <c r="X40" s="22">
        <f>W40+W39</f>
        <v/>
      </c>
      <c r="Y40" s="22">
        <f>X40+X39</f>
        <v/>
      </c>
      <c r="Z40" s="22">
        <f>Y40+Y39</f>
        <v/>
      </c>
      <c r="AA40" s="22">
        <f>Z40+Z39</f>
        <v/>
      </c>
      <c r="AB40" s="22">
        <f>AA40+AA39</f>
        <v/>
      </c>
      <c r="AC40" s="22">
        <f>AB40+AB39</f>
        <v/>
      </c>
      <c r="AD40" s="22">
        <f>AC40+AC39</f>
        <v/>
      </c>
      <c r="AE40" s="22">
        <f>AD40+AD39</f>
        <v/>
      </c>
      <c r="AF40" s="22">
        <f>AE40+AE39</f>
        <v/>
      </c>
      <c r="AG40" s="22">
        <f>AF40+AF39</f>
        <v/>
      </c>
      <c r="AH40" s="22">
        <f>AG40+AG39</f>
        <v/>
      </c>
      <c r="AI40" s="22">
        <f>AH40+AH39</f>
        <v/>
      </c>
      <c r="AJ40" s="22">
        <f>AI40+AI39</f>
        <v/>
      </c>
      <c r="AK40" s="22">
        <f>AJ40+AJ39</f>
        <v/>
      </c>
      <c r="AL40" s="22">
        <f>AK40+AK39</f>
        <v/>
      </c>
      <c r="AM40" s="22">
        <f>AL40+AL39</f>
        <v/>
      </c>
    </row>
    <row r="41">
      <c r="A41" s="21" t="inlineStr">
        <is>
          <t>Robots in stock at month end</t>
        </is>
      </c>
      <c r="B41" t="inlineStr">
        <is>
          <t>robots</t>
        </is>
      </c>
      <c r="C41" s="2" t="inlineStr">
        <is>
          <t>Built, not yet delivered</t>
        </is>
      </c>
      <c r="D41" s="22">
        <f>$C$26+D40+D39-D37</f>
        <v/>
      </c>
      <c r="E41" s="22">
        <f>$C$26+E40+E39-E37</f>
        <v/>
      </c>
      <c r="F41" s="22">
        <f>$C$26+F40+F39-F37</f>
        <v/>
      </c>
      <c r="G41" s="22">
        <f>$C$26+G40+G39-G37</f>
        <v/>
      </c>
      <c r="H41" s="22">
        <f>$C$26+H40+H39-H37</f>
        <v/>
      </c>
      <c r="I41" s="22">
        <f>$C$26+I40+I39-I37</f>
        <v/>
      </c>
      <c r="J41" s="22">
        <f>$C$26+J40+J39-J37</f>
        <v/>
      </c>
      <c r="K41" s="22">
        <f>$C$26+K40+K39-K37</f>
        <v/>
      </c>
      <c r="L41" s="22">
        <f>$C$26+L40+L39-L37</f>
        <v/>
      </c>
      <c r="M41" s="22">
        <f>$C$26+M40+M39-M37</f>
        <v/>
      </c>
      <c r="N41" s="22">
        <f>$C$26+N40+N39-N37</f>
        <v/>
      </c>
      <c r="O41" s="22">
        <f>$C$26+O40+O39-O37</f>
        <v/>
      </c>
      <c r="P41" s="22">
        <f>$C$26+P40+P39-P37</f>
        <v/>
      </c>
      <c r="Q41" s="22">
        <f>$C$26+Q40+Q39-Q37</f>
        <v/>
      </c>
      <c r="R41" s="22">
        <f>$C$26+R40+R39-R37</f>
        <v/>
      </c>
      <c r="S41" s="22">
        <f>$C$26+S40+S39-S37</f>
        <v/>
      </c>
      <c r="T41" s="22">
        <f>$C$26+T40+T39-T37</f>
        <v/>
      </c>
      <c r="U41" s="22">
        <f>$C$26+U40+U39-U37</f>
        <v/>
      </c>
      <c r="V41" s="22">
        <f>$C$26+V40+V39-V37</f>
        <v/>
      </c>
      <c r="W41" s="22">
        <f>$C$26+W40+W39-W37</f>
        <v/>
      </c>
      <c r="X41" s="22">
        <f>$C$26+X40+X39-X37</f>
        <v/>
      </c>
      <c r="Y41" s="22">
        <f>$C$26+Y40+Y39-Y37</f>
        <v/>
      </c>
      <c r="Z41" s="22">
        <f>$C$26+Z40+Z39-Z37</f>
        <v/>
      </c>
      <c r="AA41" s="22">
        <f>$C$26+AA40+AA39-AA37</f>
        <v/>
      </c>
      <c r="AB41" s="22">
        <f>$C$26+AB40+AB39-AB37</f>
        <v/>
      </c>
      <c r="AC41" s="22">
        <f>$C$26+AC40+AC39-AC37</f>
        <v/>
      </c>
      <c r="AD41" s="22">
        <f>$C$26+AD40+AD39-AD37</f>
        <v/>
      </c>
      <c r="AE41" s="22">
        <f>$C$26+AE40+AE39-AE37</f>
        <v/>
      </c>
      <c r="AF41" s="22">
        <f>$C$26+AF40+AF39-AF37</f>
        <v/>
      </c>
      <c r="AG41" s="22">
        <f>$C$26+AG40+AG39-AG37</f>
        <v/>
      </c>
      <c r="AH41" s="22">
        <f>$C$26+AH40+AH39-AH37</f>
        <v/>
      </c>
      <c r="AI41" s="22">
        <f>$C$26+AI40+AI39-AI37</f>
        <v/>
      </c>
      <c r="AJ41" s="22">
        <f>$C$26+AJ40+AJ39-AJ37</f>
        <v/>
      </c>
      <c r="AK41" s="22">
        <f>$C$26+AK40+AK39-AK37</f>
        <v/>
      </c>
      <c r="AL41" s="22">
        <f>$C$26+AL40+AL39-AL37</f>
        <v/>
      </c>
      <c r="AM41" s="22">
        <f>$C$26+AM40+AM39-AM37</f>
        <v/>
      </c>
    </row>
    <row r="42">
      <c r="A42" s="4" t="inlineStr">
        <is>
          <t>Unit cost</t>
        </is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  <c r="AL42" s="5" t="n"/>
      <c r="AM42" s="5" t="n"/>
    </row>
    <row r="43">
      <c r="A43" s="21" t="inlineStr">
        <is>
          <t>Cost-down factor</t>
        </is>
      </c>
      <c r="B43" t="inlineStr">
        <is>
          <t>x</t>
        </is>
      </c>
      <c r="C43" s="2" t="inlineStr">
        <is>
          <t>(Robots built before / start of cost-down) ^ log2(1 - cost-down)</t>
        </is>
      </c>
      <c r="D43" s="30">
        <f>(MAX(D40,Inputs!$B$24)/Inputs!$B$24)^LOG(1-Inputs!$B$23,2)</f>
        <v/>
      </c>
      <c r="E43" s="30">
        <f>(MAX(E40,Inputs!$B$24)/Inputs!$B$24)^LOG(1-Inputs!$B$23,2)</f>
        <v/>
      </c>
      <c r="F43" s="30">
        <f>(MAX(F40,Inputs!$B$24)/Inputs!$B$24)^LOG(1-Inputs!$B$23,2)</f>
        <v/>
      </c>
      <c r="G43" s="30">
        <f>(MAX(G40,Inputs!$B$24)/Inputs!$B$24)^LOG(1-Inputs!$B$23,2)</f>
        <v/>
      </c>
      <c r="H43" s="30">
        <f>(MAX(H40,Inputs!$B$24)/Inputs!$B$24)^LOG(1-Inputs!$B$23,2)</f>
        <v/>
      </c>
      <c r="I43" s="30">
        <f>(MAX(I40,Inputs!$B$24)/Inputs!$B$24)^LOG(1-Inputs!$B$23,2)</f>
        <v/>
      </c>
      <c r="J43" s="30">
        <f>(MAX(J40,Inputs!$B$24)/Inputs!$B$24)^LOG(1-Inputs!$B$23,2)</f>
        <v/>
      </c>
      <c r="K43" s="30">
        <f>(MAX(K40,Inputs!$B$24)/Inputs!$B$24)^LOG(1-Inputs!$B$23,2)</f>
        <v/>
      </c>
      <c r="L43" s="30">
        <f>(MAX(L40,Inputs!$B$24)/Inputs!$B$24)^LOG(1-Inputs!$B$23,2)</f>
        <v/>
      </c>
      <c r="M43" s="30">
        <f>(MAX(M40,Inputs!$B$24)/Inputs!$B$24)^LOG(1-Inputs!$B$23,2)</f>
        <v/>
      </c>
      <c r="N43" s="30">
        <f>(MAX(N40,Inputs!$B$24)/Inputs!$B$24)^LOG(1-Inputs!$B$23,2)</f>
        <v/>
      </c>
      <c r="O43" s="30">
        <f>(MAX(O40,Inputs!$B$24)/Inputs!$B$24)^LOG(1-Inputs!$B$23,2)</f>
        <v/>
      </c>
      <c r="P43" s="30">
        <f>(MAX(P40,Inputs!$B$24)/Inputs!$B$24)^LOG(1-Inputs!$B$23,2)</f>
        <v/>
      </c>
      <c r="Q43" s="30">
        <f>(MAX(Q40,Inputs!$B$24)/Inputs!$B$24)^LOG(1-Inputs!$B$23,2)</f>
        <v/>
      </c>
      <c r="R43" s="30">
        <f>(MAX(R40,Inputs!$B$24)/Inputs!$B$24)^LOG(1-Inputs!$B$23,2)</f>
        <v/>
      </c>
      <c r="S43" s="30">
        <f>(MAX(S40,Inputs!$B$24)/Inputs!$B$24)^LOG(1-Inputs!$B$23,2)</f>
        <v/>
      </c>
      <c r="T43" s="30">
        <f>(MAX(T40,Inputs!$B$24)/Inputs!$B$24)^LOG(1-Inputs!$B$23,2)</f>
        <v/>
      </c>
      <c r="U43" s="30">
        <f>(MAX(U40,Inputs!$B$24)/Inputs!$B$24)^LOG(1-Inputs!$B$23,2)</f>
        <v/>
      </c>
      <c r="V43" s="30">
        <f>(MAX(V40,Inputs!$B$24)/Inputs!$B$24)^LOG(1-Inputs!$B$23,2)</f>
        <v/>
      </c>
      <c r="W43" s="30">
        <f>(MAX(W40,Inputs!$B$24)/Inputs!$B$24)^LOG(1-Inputs!$B$23,2)</f>
        <v/>
      </c>
      <c r="X43" s="30">
        <f>(MAX(X40,Inputs!$B$24)/Inputs!$B$24)^LOG(1-Inputs!$B$23,2)</f>
        <v/>
      </c>
      <c r="Y43" s="30">
        <f>(MAX(Y40,Inputs!$B$24)/Inputs!$B$24)^LOG(1-Inputs!$B$23,2)</f>
        <v/>
      </c>
      <c r="Z43" s="30">
        <f>(MAX(Z40,Inputs!$B$24)/Inputs!$B$24)^LOG(1-Inputs!$B$23,2)</f>
        <v/>
      </c>
      <c r="AA43" s="30">
        <f>(MAX(AA40,Inputs!$B$24)/Inputs!$B$24)^LOG(1-Inputs!$B$23,2)</f>
        <v/>
      </c>
      <c r="AB43" s="30">
        <f>(MAX(AB40,Inputs!$B$24)/Inputs!$B$24)^LOG(1-Inputs!$B$23,2)</f>
        <v/>
      </c>
      <c r="AC43" s="30">
        <f>(MAX(AC40,Inputs!$B$24)/Inputs!$B$24)^LOG(1-Inputs!$B$23,2)</f>
        <v/>
      </c>
      <c r="AD43" s="30">
        <f>(MAX(AD40,Inputs!$B$24)/Inputs!$B$24)^LOG(1-Inputs!$B$23,2)</f>
        <v/>
      </c>
      <c r="AE43" s="30">
        <f>(MAX(AE40,Inputs!$B$24)/Inputs!$B$24)^LOG(1-Inputs!$B$23,2)</f>
        <v/>
      </c>
      <c r="AF43" s="30">
        <f>(MAX(AF40,Inputs!$B$24)/Inputs!$B$24)^LOG(1-Inputs!$B$23,2)</f>
        <v/>
      </c>
      <c r="AG43" s="30">
        <f>(MAX(AG40,Inputs!$B$24)/Inputs!$B$24)^LOG(1-Inputs!$B$23,2)</f>
        <v/>
      </c>
      <c r="AH43" s="30">
        <f>(MAX(AH40,Inputs!$B$24)/Inputs!$B$24)^LOG(1-Inputs!$B$23,2)</f>
        <v/>
      </c>
      <c r="AI43" s="30">
        <f>(MAX(AI40,Inputs!$B$24)/Inputs!$B$24)^LOG(1-Inputs!$B$23,2)</f>
        <v/>
      </c>
      <c r="AJ43" s="30">
        <f>(MAX(AJ40,Inputs!$B$24)/Inputs!$B$24)^LOG(1-Inputs!$B$23,2)</f>
        <v/>
      </c>
      <c r="AK43" s="30">
        <f>(MAX(AK40,Inputs!$B$24)/Inputs!$B$24)^LOG(1-Inputs!$B$23,2)</f>
        <v/>
      </c>
      <c r="AL43" s="30">
        <f>(MAX(AL40,Inputs!$B$24)/Inputs!$B$24)^LOG(1-Inputs!$B$23,2)</f>
        <v/>
      </c>
      <c r="AM43" s="30">
        <f>(MAX(AM40,Inputs!$B$24)/Inputs!$B$24)^LOG(1-Inputs!$B$23,2)</f>
        <v/>
      </c>
    </row>
    <row r="44">
      <c r="A44" s="21" t="inlineStr">
        <is>
          <t>Parts per robot</t>
        </is>
      </c>
      <c r="B44" t="inlineStr">
        <is>
          <t>$</t>
        </is>
      </c>
      <c r="C44" s="2" t="inlineStr">
        <is>
          <t>First-robot parts x cost-down factor</t>
        </is>
      </c>
      <c r="D44" s="23">
        <f>Inputs!$B$21*D43</f>
        <v/>
      </c>
      <c r="E44" s="23">
        <f>Inputs!$B$21*E43</f>
        <v/>
      </c>
      <c r="F44" s="23">
        <f>Inputs!$B$21*F43</f>
        <v/>
      </c>
      <c r="G44" s="23">
        <f>Inputs!$B$21*G43</f>
        <v/>
      </c>
      <c r="H44" s="23">
        <f>Inputs!$B$21*H43</f>
        <v/>
      </c>
      <c r="I44" s="23">
        <f>Inputs!$B$21*I43</f>
        <v/>
      </c>
      <c r="J44" s="23">
        <f>Inputs!$B$21*J43</f>
        <v/>
      </c>
      <c r="K44" s="23">
        <f>Inputs!$B$21*K43</f>
        <v/>
      </c>
      <c r="L44" s="23">
        <f>Inputs!$B$21*L43</f>
        <v/>
      </c>
      <c r="M44" s="23">
        <f>Inputs!$B$21*M43</f>
        <v/>
      </c>
      <c r="N44" s="23">
        <f>Inputs!$B$21*N43</f>
        <v/>
      </c>
      <c r="O44" s="23">
        <f>Inputs!$B$21*O43</f>
        <v/>
      </c>
      <c r="P44" s="23">
        <f>Inputs!$B$21*P43</f>
        <v/>
      </c>
      <c r="Q44" s="23">
        <f>Inputs!$B$21*Q43</f>
        <v/>
      </c>
      <c r="R44" s="23">
        <f>Inputs!$B$21*R43</f>
        <v/>
      </c>
      <c r="S44" s="23">
        <f>Inputs!$B$21*S43</f>
        <v/>
      </c>
      <c r="T44" s="23">
        <f>Inputs!$B$21*T43</f>
        <v/>
      </c>
      <c r="U44" s="23">
        <f>Inputs!$B$21*U43</f>
        <v/>
      </c>
      <c r="V44" s="23">
        <f>Inputs!$B$21*V43</f>
        <v/>
      </c>
      <c r="W44" s="23">
        <f>Inputs!$B$21*W43</f>
        <v/>
      </c>
      <c r="X44" s="23">
        <f>Inputs!$B$21*X43</f>
        <v/>
      </c>
      <c r="Y44" s="23">
        <f>Inputs!$B$21*Y43</f>
        <v/>
      </c>
      <c r="Z44" s="23">
        <f>Inputs!$B$21*Z43</f>
        <v/>
      </c>
      <c r="AA44" s="23">
        <f>Inputs!$B$21*AA43</f>
        <v/>
      </c>
      <c r="AB44" s="23">
        <f>Inputs!$B$21*AB43</f>
        <v/>
      </c>
      <c r="AC44" s="23">
        <f>Inputs!$B$21*AC43</f>
        <v/>
      </c>
      <c r="AD44" s="23">
        <f>Inputs!$B$21*AD43</f>
        <v/>
      </c>
      <c r="AE44" s="23">
        <f>Inputs!$B$21*AE43</f>
        <v/>
      </c>
      <c r="AF44" s="23">
        <f>Inputs!$B$21*AF43</f>
        <v/>
      </c>
      <c r="AG44" s="23">
        <f>Inputs!$B$21*AG43</f>
        <v/>
      </c>
      <c r="AH44" s="23">
        <f>Inputs!$B$21*AH43</f>
        <v/>
      </c>
      <c r="AI44" s="23">
        <f>Inputs!$B$21*AI43</f>
        <v/>
      </c>
      <c r="AJ44" s="23">
        <f>Inputs!$B$21*AJ43</f>
        <v/>
      </c>
      <c r="AK44" s="23">
        <f>Inputs!$B$21*AK43</f>
        <v/>
      </c>
      <c r="AL44" s="23">
        <f>Inputs!$B$21*AL43</f>
        <v/>
      </c>
      <c r="AM44" s="23">
        <f>Inputs!$B$21*AM43</f>
        <v/>
      </c>
    </row>
    <row r="45">
      <c r="A45" s="21" t="inlineStr">
        <is>
          <t>Assembly and test per robot</t>
        </is>
      </c>
      <c r="B45" t="inlineStr">
        <is>
          <t>$</t>
        </is>
      </c>
      <c r="C45" s="2" t="inlineStr">
        <is>
          <t>First-robot assembly x cost-down factor</t>
        </is>
      </c>
      <c r="D45" s="23">
        <f>Inputs!$B$22*D43</f>
        <v/>
      </c>
      <c r="E45" s="23">
        <f>Inputs!$B$22*E43</f>
        <v/>
      </c>
      <c r="F45" s="23">
        <f>Inputs!$B$22*F43</f>
        <v/>
      </c>
      <c r="G45" s="23">
        <f>Inputs!$B$22*G43</f>
        <v/>
      </c>
      <c r="H45" s="23">
        <f>Inputs!$B$22*H43</f>
        <v/>
      </c>
      <c r="I45" s="23">
        <f>Inputs!$B$22*I43</f>
        <v/>
      </c>
      <c r="J45" s="23">
        <f>Inputs!$B$22*J43</f>
        <v/>
      </c>
      <c r="K45" s="23">
        <f>Inputs!$B$22*K43</f>
        <v/>
      </c>
      <c r="L45" s="23">
        <f>Inputs!$B$22*L43</f>
        <v/>
      </c>
      <c r="M45" s="23">
        <f>Inputs!$B$22*M43</f>
        <v/>
      </c>
      <c r="N45" s="23">
        <f>Inputs!$B$22*N43</f>
        <v/>
      </c>
      <c r="O45" s="23">
        <f>Inputs!$B$22*O43</f>
        <v/>
      </c>
      <c r="P45" s="23">
        <f>Inputs!$B$22*P43</f>
        <v/>
      </c>
      <c r="Q45" s="23">
        <f>Inputs!$B$22*Q43</f>
        <v/>
      </c>
      <c r="R45" s="23">
        <f>Inputs!$B$22*R43</f>
        <v/>
      </c>
      <c r="S45" s="23">
        <f>Inputs!$B$22*S43</f>
        <v/>
      </c>
      <c r="T45" s="23">
        <f>Inputs!$B$22*T43</f>
        <v/>
      </c>
      <c r="U45" s="23">
        <f>Inputs!$B$22*U43</f>
        <v/>
      </c>
      <c r="V45" s="23">
        <f>Inputs!$B$22*V43</f>
        <v/>
      </c>
      <c r="W45" s="23">
        <f>Inputs!$B$22*W43</f>
        <v/>
      </c>
      <c r="X45" s="23">
        <f>Inputs!$B$22*X43</f>
        <v/>
      </c>
      <c r="Y45" s="23">
        <f>Inputs!$B$22*Y43</f>
        <v/>
      </c>
      <c r="Z45" s="23">
        <f>Inputs!$B$22*Z43</f>
        <v/>
      </c>
      <c r="AA45" s="23">
        <f>Inputs!$B$22*AA43</f>
        <v/>
      </c>
      <c r="AB45" s="23">
        <f>Inputs!$B$22*AB43</f>
        <v/>
      </c>
      <c r="AC45" s="23">
        <f>Inputs!$B$22*AC43</f>
        <v/>
      </c>
      <c r="AD45" s="23">
        <f>Inputs!$B$22*AD43</f>
        <v/>
      </c>
      <c r="AE45" s="23">
        <f>Inputs!$B$22*AE43</f>
        <v/>
      </c>
      <c r="AF45" s="23">
        <f>Inputs!$B$22*AF43</f>
        <v/>
      </c>
      <c r="AG45" s="23">
        <f>Inputs!$B$22*AG43</f>
        <v/>
      </c>
      <c r="AH45" s="23">
        <f>Inputs!$B$22*AH43</f>
        <v/>
      </c>
      <c r="AI45" s="23">
        <f>Inputs!$B$22*AI43</f>
        <v/>
      </c>
      <c r="AJ45" s="23">
        <f>Inputs!$B$22*AJ43</f>
        <v/>
      </c>
      <c r="AK45" s="23">
        <f>Inputs!$B$22*AK43</f>
        <v/>
      </c>
      <c r="AL45" s="23">
        <f>Inputs!$B$22*AL43</f>
        <v/>
      </c>
      <c r="AM45" s="23">
        <f>Inputs!$B$22*AM43</f>
        <v/>
      </c>
    </row>
    <row r="46">
      <c r="A46" s="21" t="inlineStr">
        <is>
          <t>Freight, duties and tariffs per robot</t>
        </is>
      </c>
      <c r="B46" t="inlineStr">
        <is>
          <t>$</t>
        </is>
      </c>
      <c r="C46" s="2" t="inlineStr">
        <is>
          <t>Parts x freight %</t>
        </is>
      </c>
      <c r="D46" s="23">
        <f>D44*Inputs!$B$25</f>
        <v/>
      </c>
      <c r="E46" s="23">
        <f>E44*Inputs!$B$25</f>
        <v/>
      </c>
      <c r="F46" s="23">
        <f>F44*Inputs!$B$25</f>
        <v/>
      </c>
      <c r="G46" s="23">
        <f>G44*Inputs!$B$25</f>
        <v/>
      </c>
      <c r="H46" s="23">
        <f>H44*Inputs!$B$25</f>
        <v/>
      </c>
      <c r="I46" s="23">
        <f>I44*Inputs!$B$25</f>
        <v/>
      </c>
      <c r="J46" s="23">
        <f>J44*Inputs!$B$25</f>
        <v/>
      </c>
      <c r="K46" s="23">
        <f>K44*Inputs!$B$25</f>
        <v/>
      </c>
      <c r="L46" s="23">
        <f>L44*Inputs!$B$25</f>
        <v/>
      </c>
      <c r="M46" s="23">
        <f>M44*Inputs!$B$25</f>
        <v/>
      </c>
      <c r="N46" s="23">
        <f>N44*Inputs!$B$25</f>
        <v/>
      </c>
      <c r="O46" s="23">
        <f>O44*Inputs!$B$25</f>
        <v/>
      </c>
      <c r="P46" s="23">
        <f>P44*Inputs!$B$25</f>
        <v/>
      </c>
      <c r="Q46" s="23">
        <f>Q44*Inputs!$B$25</f>
        <v/>
      </c>
      <c r="R46" s="23">
        <f>R44*Inputs!$B$25</f>
        <v/>
      </c>
      <c r="S46" s="23">
        <f>S44*Inputs!$B$25</f>
        <v/>
      </c>
      <c r="T46" s="23">
        <f>T44*Inputs!$B$25</f>
        <v/>
      </c>
      <c r="U46" s="23">
        <f>U44*Inputs!$B$25</f>
        <v/>
      </c>
      <c r="V46" s="23">
        <f>V44*Inputs!$B$25</f>
        <v/>
      </c>
      <c r="W46" s="23">
        <f>W44*Inputs!$B$25</f>
        <v/>
      </c>
      <c r="X46" s="23">
        <f>X44*Inputs!$B$25</f>
        <v/>
      </c>
      <c r="Y46" s="23">
        <f>Y44*Inputs!$B$25</f>
        <v/>
      </c>
      <c r="Z46" s="23">
        <f>Z44*Inputs!$B$25</f>
        <v/>
      </c>
      <c r="AA46" s="23">
        <f>AA44*Inputs!$B$25</f>
        <v/>
      </c>
      <c r="AB46" s="23">
        <f>AB44*Inputs!$B$25</f>
        <v/>
      </c>
      <c r="AC46" s="23">
        <f>AC44*Inputs!$B$25</f>
        <v/>
      </c>
      <c r="AD46" s="23">
        <f>AD44*Inputs!$B$25</f>
        <v/>
      </c>
      <c r="AE46" s="23">
        <f>AE44*Inputs!$B$25</f>
        <v/>
      </c>
      <c r="AF46" s="23">
        <f>AF44*Inputs!$B$25</f>
        <v/>
      </c>
      <c r="AG46" s="23">
        <f>AG44*Inputs!$B$25</f>
        <v/>
      </c>
      <c r="AH46" s="23">
        <f>AH44*Inputs!$B$25</f>
        <v/>
      </c>
      <c r="AI46" s="23">
        <f>AI44*Inputs!$B$25</f>
        <v/>
      </c>
      <c r="AJ46" s="23">
        <f>AJ44*Inputs!$B$25</f>
        <v/>
      </c>
      <c r="AK46" s="23">
        <f>AK44*Inputs!$B$25</f>
        <v/>
      </c>
      <c r="AL46" s="23">
        <f>AL44*Inputs!$B$25</f>
        <v/>
      </c>
      <c r="AM46" s="23">
        <f>AM44*Inputs!$B$25</f>
        <v/>
      </c>
    </row>
    <row r="47">
      <c r="A47" s="16" t="inlineStr">
        <is>
          <t>Cost to build one robot</t>
        </is>
      </c>
      <c r="B47" t="inlineStr">
        <is>
          <t>$</t>
        </is>
      </c>
      <c r="C47" s="2" t="inlineStr">
        <is>
          <t>Parts + assembly + freight</t>
        </is>
      </c>
      <c r="D47" s="31">
        <f>D44+D45+D46</f>
        <v/>
      </c>
      <c r="E47" s="31">
        <f>E44+E45+E46</f>
        <v/>
      </c>
      <c r="F47" s="31">
        <f>F44+F45+F46</f>
        <v/>
      </c>
      <c r="G47" s="31">
        <f>G44+G45+G46</f>
        <v/>
      </c>
      <c r="H47" s="31">
        <f>H44+H45+H46</f>
        <v/>
      </c>
      <c r="I47" s="31">
        <f>I44+I45+I46</f>
        <v/>
      </c>
      <c r="J47" s="31">
        <f>J44+J45+J46</f>
        <v/>
      </c>
      <c r="K47" s="31">
        <f>K44+K45+K46</f>
        <v/>
      </c>
      <c r="L47" s="31">
        <f>L44+L45+L46</f>
        <v/>
      </c>
      <c r="M47" s="31">
        <f>M44+M45+M46</f>
        <v/>
      </c>
      <c r="N47" s="31">
        <f>N44+N45+N46</f>
        <v/>
      </c>
      <c r="O47" s="31">
        <f>O44+O45+O46</f>
        <v/>
      </c>
      <c r="P47" s="31">
        <f>P44+P45+P46</f>
        <v/>
      </c>
      <c r="Q47" s="31">
        <f>Q44+Q45+Q46</f>
        <v/>
      </c>
      <c r="R47" s="31">
        <f>R44+R45+R46</f>
        <v/>
      </c>
      <c r="S47" s="31">
        <f>S44+S45+S46</f>
        <v/>
      </c>
      <c r="T47" s="31">
        <f>T44+T45+T46</f>
        <v/>
      </c>
      <c r="U47" s="31">
        <f>U44+U45+U46</f>
        <v/>
      </c>
      <c r="V47" s="31">
        <f>V44+V45+V46</f>
        <v/>
      </c>
      <c r="W47" s="31">
        <f>W44+W45+W46</f>
        <v/>
      </c>
      <c r="X47" s="31">
        <f>X44+X45+X46</f>
        <v/>
      </c>
      <c r="Y47" s="31">
        <f>Y44+Y45+Y46</f>
        <v/>
      </c>
      <c r="Z47" s="31">
        <f>Z44+Z45+Z46</f>
        <v/>
      </c>
      <c r="AA47" s="31">
        <f>AA44+AA45+AA46</f>
        <v/>
      </c>
      <c r="AB47" s="31">
        <f>AB44+AB45+AB46</f>
        <v/>
      </c>
      <c r="AC47" s="31">
        <f>AC44+AC45+AC46</f>
        <v/>
      </c>
      <c r="AD47" s="31">
        <f>AD44+AD45+AD46</f>
        <v/>
      </c>
      <c r="AE47" s="31">
        <f>AE44+AE45+AE46</f>
        <v/>
      </c>
      <c r="AF47" s="31">
        <f>AF44+AF45+AF46</f>
        <v/>
      </c>
      <c r="AG47" s="31">
        <f>AG44+AG45+AG46</f>
        <v/>
      </c>
      <c r="AH47" s="31">
        <f>AH44+AH45+AH46</f>
        <v/>
      </c>
      <c r="AI47" s="31">
        <f>AI44+AI45+AI46</f>
        <v/>
      </c>
      <c r="AJ47" s="31">
        <f>AJ44+AJ45+AJ46</f>
        <v/>
      </c>
      <c r="AK47" s="31">
        <f>AK44+AK45+AK46</f>
        <v/>
      </c>
      <c r="AL47" s="31">
        <f>AL44+AL45+AL46</f>
        <v/>
      </c>
      <c r="AM47" s="31">
        <f>AM44+AM45+AM46</f>
        <v/>
      </c>
    </row>
    <row r="48">
      <c r="A48" s="21" t="inlineStr">
        <is>
          <t>Build cost of robots delivered this month</t>
        </is>
      </c>
      <c r="B48" t="inlineStr">
        <is>
          <t>$</t>
        </is>
      </c>
      <c r="C48" s="2" t="inlineStr">
        <is>
          <t>Cost of a robot built one lead time earlier</t>
        </is>
      </c>
      <c r="D48" s="23">
        <f>INDEX($D$47:$AM$47,1,MAX(1,D$30-Inputs!$B$31))</f>
        <v/>
      </c>
      <c r="E48" s="23">
        <f>INDEX($D$47:$AM$47,1,MAX(1,E$30-Inputs!$B$31))</f>
        <v/>
      </c>
      <c r="F48" s="23">
        <f>INDEX($D$47:$AM$47,1,MAX(1,F$30-Inputs!$B$31))</f>
        <v/>
      </c>
      <c r="G48" s="23">
        <f>INDEX($D$47:$AM$47,1,MAX(1,G$30-Inputs!$B$31))</f>
        <v/>
      </c>
      <c r="H48" s="23">
        <f>INDEX($D$47:$AM$47,1,MAX(1,H$30-Inputs!$B$31))</f>
        <v/>
      </c>
      <c r="I48" s="23">
        <f>INDEX($D$47:$AM$47,1,MAX(1,I$30-Inputs!$B$31))</f>
        <v/>
      </c>
      <c r="J48" s="23">
        <f>INDEX($D$47:$AM$47,1,MAX(1,J$30-Inputs!$B$31))</f>
        <v/>
      </c>
      <c r="K48" s="23">
        <f>INDEX($D$47:$AM$47,1,MAX(1,K$30-Inputs!$B$31))</f>
        <v/>
      </c>
      <c r="L48" s="23">
        <f>INDEX($D$47:$AM$47,1,MAX(1,L$30-Inputs!$B$31))</f>
        <v/>
      </c>
      <c r="M48" s="23">
        <f>INDEX($D$47:$AM$47,1,MAX(1,M$30-Inputs!$B$31))</f>
        <v/>
      </c>
      <c r="N48" s="23">
        <f>INDEX($D$47:$AM$47,1,MAX(1,N$30-Inputs!$B$31))</f>
        <v/>
      </c>
      <c r="O48" s="23">
        <f>INDEX($D$47:$AM$47,1,MAX(1,O$30-Inputs!$B$31))</f>
        <v/>
      </c>
      <c r="P48" s="23">
        <f>INDEX($D$47:$AM$47,1,MAX(1,P$30-Inputs!$B$31))</f>
        <v/>
      </c>
      <c r="Q48" s="23">
        <f>INDEX($D$47:$AM$47,1,MAX(1,Q$30-Inputs!$B$31))</f>
        <v/>
      </c>
      <c r="R48" s="23">
        <f>INDEX($D$47:$AM$47,1,MAX(1,R$30-Inputs!$B$31))</f>
        <v/>
      </c>
      <c r="S48" s="23">
        <f>INDEX($D$47:$AM$47,1,MAX(1,S$30-Inputs!$B$31))</f>
        <v/>
      </c>
      <c r="T48" s="23">
        <f>INDEX($D$47:$AM$47,1,MAX(1,T$30-Inputs!$B$31))</f>
        <v/>
      </c>
      <c r="U48" s="23">
        <f>INDEX($D$47:$AM$47,1,MAX(1,U$30-Inputs!$B$31))</f>
        <v/>
      </c>
      <c r="V48" s="23">
        <f>INDEX($D$47:$AM$47,1,MAX(1,V$30-Inputs!$B$31))</f>
        <v/>
      </c>
      <c r="W48" s="23">
        <f>INDEX($D$47:$AM$47,1,MAX(1,W$30-Inputs!$B$31))</f>
        <v/>
      </c>
      <c r="X48" s="23">
        <f>INDEX($D$47:$AM$47,1,MAX(1,X$30-Inputs!$B$31))</f>
        <v/>
      </c>
      <c r="Y48" s="23">
        <f>INDEX($D$47:$AM$47,1,MAX(1,Y$30-Inputs!$B$31))</f>
        <v/>
      </c>
      <c r="Z48" s="23">
        <f>INDEX($D$47:$AM$47,1,MAX(1,Z$30-Inputs!$B$31))</f>
        <v/>
      </c>
      <c r="AA48" s="23">
        <f>INDEX($D$47:$AM$47,1,MAX(1,AA$30-Inputs!$B$31))</f>
        <v/>
      </c>
      <c r="AB48" s="23">
        <f>INDEX($D$47:$AM$47,1,MAX(1,AB$30-Inputs!$B$31))</f>
        <v/>
      </c>
      <c r="AC48" s="23">
        <f>INDEX($D$47:$AM$47,1,MAX(1,AC$30-Inputs!$B$31))</f>
        <v/>
      </c>
      <c r="AD48" s="23">
        <f>INDEX($D$47:$AM$47,1,MAX(1,AD$30-Inputs!$B$31))</f>
        <v/>
      </c>
      <c r="AE48" s="23">
        <f>INDEX($D$47:$AM$47,1,MAX(1,AE$30-Inputs!$B$31))</f>
        <v/>
      </c>
      <c r="AF48" s="23">
        <f>INDEX($D$47:$AM$47,1,MAX(1,AF$30-Inputs!$B$31))</f>
        <v/>
      </c>
      <c r="AG48" s="23">
        <f>INDEX($D$47:$AM$47,1,MAX(1,AG$30-Inputs!$B$31))</f>
        <v/>
      </c>
      <c r="AH48" s="23">
        <f>INDEX($D$47:$AM$47,1,MAX(1,AH$30-Inputs!$B$31))</f>
        <v/>
      </c>
      <c r="AI48" s="23">
        <f>INDEX($D$47:$AM$47,1,MAX(1,AI$30-Inputs!$B$31))</f>
        <v/>
      </c>
      <c r="AJ48" s="23">
        <f>INDEX($D$47:$AM$47,1,MAX(1,AJ$30-Inputs!$B$31))</f>
        <v/>
      </c>
      <c r="AK48" s="23">
        <f>INDEX($D$47:$AM$47,1,MAX(1,AK$30-Inputs!$B$31))</f>
        <v/>
      </c>
      <c r="AL48" s="23">
        <f>INDEX($D$47:$AM$47,1,MAX(1,AL$30-Inputs!$B$31))</f>
        <v/>
      </c>
      <c r="AM48" s="23">
        <f>INDEX($D$47:$AM$47,1,MAX(1,AM$30-Inputs!$B$31))</f>
        <v/>
      </c>
    </row>
    <row r="49">
      <c r="A49" s="4" t="inlineStr">
        <is>
          <t>Revenue</t>
        </is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  <c r="AA49" s="5" t="n"/>
      <c r="AB49" s="5" t="n"/>
      <c r="AC49" s="5" t="n"/>
      <c r="AD49" s="5" t="n"/>
      <c r="AE49" s="5" t="n"/>
      <c r="AF49" s="5" t="n"/>
      <c r="AG49" s="5" t="n"/>
      <c r="AH49" s="5" t="n"/>
      <c r="AI49" s="5" t="n"/>
      <c r="AJ49" s="5" t="n"/>
      <c r="AK49" s="5" t="n"/>
      <c r="AL49" s="5" t="n"/>
      <c r="AM49" s="5" t="n"/>
    </row>
    <row r="50">
      <c r="A50" s="21" t="inlineStr">
        <is>
          <t>Robot sales</t>
        </is>
      </c>
      <c r="B50" t="inlineStr">
        <is>
          <t>$</t>
        </is>
      </c>
      <c r="C50" s="2" t="inlineStr">
        <is>
          <t>Robots sold x sale price</t>
        </is>
      </c>
      <c r="D50" s="23">
        <f>D36*Inputs!$B$18</f>
        <v/>
      </c>
      <c r="E50" s="23">
        <f>E36*Inputs!$B$18</f>
        <v/>
      </c>
      <c r="F50" s="23">
        <f>F36*Inputs!$B$18</f>
        <v/>
      </c>
      <c r="G50" s="23">
        <f>G36*Inputs!$B$18</f>
        <v/>
      </c>
      <c r="H50" s="23">
        <f>H36*Inputs!$B$18</f>
        <v/>
      </c>
      <c r="I50" s="23">
        <f>I36*Inputs!$B$18</f>
        <v/>
      </c>
      <c r="J50" s="23">
        <f>J36*Inputs!$B$18</f>
        <v/>
      </c>
      <c r="K50" s="23">
        <f>K36*Inputs!$B$18</f>
        <v/>
      </c>
      <c r="L50" s="23">
        <f>L36*Inputs!$B$18</f>
        <v/>
      </c>
      <c r="M50" s="23">
        <f>M36*Inputs!$B$18</f>
        <v/>
      </c>
      <c r="N50" s="23">
        <f>N36*Inputs!$B$18</f>
        <v/>
      </c>
      <c r="O50" s="23">
        <f>O36*Inputs!$B$18</f>
        <v/>
      </c>
      <c r="P50" s="23">
        <f>P36*Inputs!$B$18</f>
        <v/>
      </c>
      <c r="Q50" s="23">
        <f>Q36*Inputs!$B$18</f>
        <v/>
      </c>
      <c r="R50" s="23">
        <f>R36*Inputs!$B$18</f>
        <v/>
      </c>
      <c r="S50" s="23">
        <f>S36*Inputs!$B$18</f>
        <v/>
      </c>
      <c r="T50" s="23">
        <f>T36*Inputs!$B$18</f>
        <v/>
      </c>
      <c r="U50" s="23">
        <f>U36*Inputs!$B$18</f>
        <v/>
      </c>
      <c r="V50" s="23">
        <f>V36*Inputs!$B$18</f>
        <v/>
      </c>
      <c r="W50" s="23">
        <f>W36*Inputs!$B$18</f>
        <v/>
      </c>
      <c r="X50" s="23">
        <f>X36*Inputs!$B$18</f>
        <v/>
      </c>
      <c r="Y50" s="23">
        <f>Y36*Inputs!$B$18</f>
        <v/>
      </c>
      <c r="Z50" s="23">
        <f>Z36*Inputs!$B$18</f>
        <v/>
      </c>
      <c r="AA50" s="23">
        <f>AA36*Inputs!$B$18</f>
        <v/>
      </c>
      <c r="AB50" s="23">
        <f>AB36*Inputs!$B$18</f>
        <v/>
      </c>
      <c r="AC50" s="23">
        <f>AC36*Inputs!$B$18</f>
        <v/>
      </c>
      <c r="AD50" s="23">
        <f>AD36*Inputs!$B$18</f>
        <v/>
      </c>
      <c r="AE50" s="23">
        <f>AE36*Inputs!$B$18</f>
        <v/>
      </c>
      <c r="AF50" s="23">
        <f>AF36*Inputs!$B$18</f>
        <v/>
      </c>
      <c r="AG50" s="23">
        <f>AG36*Inputs!$B$18</f>
        <v/>
      </c>
      <c r="AH50" s="23">
        <f>AH36*Inputs!$B$18</f>
        <v/>
      </c>
      <c r="AI50" s="23">
        <f>AI36*Inputs!$B$18</f>
        <v/>
      </c>
      <c r="AJ50" s="23">
        <f>AJ36*Inputs!$B$18</f>
        <v/>
      </c>
      <c r="AK50" s="23">
        <f>AK36*Inputs!$B$18</f>
        <v/>
      </c>
      <c r="AL50" s="23">
        <f>AL36*Inputs!$B$18</f>
        <v/>
      </c>
      <c r="AM50" s="23">
        <f>AM36*Inputs!$B$18</f>
        <v/>
      </c>
    </row>
    <row r="51">
      <c r="A51" s="21" t="inlineStr">
        <is>
          <t>RaaS fees</t>
        </is>
      </c>
      <c r="B51" t="inlineStr">
        <is>
          <t>$</t>
        </is>
      </c>
      <c r="C51" s="2" t="inlineStr">
        <is>
          <t>RaaS fleet x monthly fee</t>
        </is>
      </c>
      <c r="D51" s="23">
        <f>D38*Inputs!$B$19</f>
        <v/>
      </c>
      <c r="E51" s="23">
        <f>E38*Inputs!$B$19</f>
        <v/>
      </c>
      <c r="F51" s="23">
        <f>F38*Inputs!$B$19</f>
        <v/>
      </c>
      <c r="G51" s="23">
        <f>G38*Inputs!$B$19</f>
        <v/>
      </c>
      <c r="H51" s="23">
        <f>H38*Inputs!$B$19</f>
        <v/>
      </c>
      <c r="I51" s="23">
        <f>I38*Inputs!$B$19</f>
        <v/>
      </c>
      <c r="J51" s="23">
        <f>J38*Inputs!$B$19</f>
        <v/>
      </c>
      <c r="K51" s="23">
        <f>K38*Inputs!$B$19</f>
        <v/>
      </c>
      <c r="L51" s="23">
        <f>L38*Inputs!$B$19</f>
        <v/>
      </c>
      <c r="M51" s="23">
        <f>M38*Inputs!$B$19</f>
        <v/>
      </c>
      <c r="N51" s="23">
        <f>N38*Inputs!$B$19</f>
        <v/>
      </c>
      <c r="O51" s="23">
        <f>O38*Inputs!$B$19</f>
        <v/>
      </c>
      <c r="P51" s="23">
        <f>P38*Inputs!$B$19</f>
        <v/>
      </c>
      <c r="Q51" s="23">
        <f>Q38*Inputs!$B$19</f>
        <v/>
      </c>
      <c r="R51" s="23">
        <f>R38*Inputs!$B$19</f>
        <v/>
      </c>
      <c r="S51" s="23">
        <f>S38*Inputs!$B$19</f>
        <v/>
      </c>
      <c r="T51" s="23">
        <f>T38*Inputs!$B$19</f>
        <v/>
      </c>
      <c r="U51" s="23">
        <f>U38*Inputs!$B$19</f>
        <v/>
      </c>
      <c r="V51" s="23">
        <f>V38*Inputs!$B$19</f>
        <v/>
      </c>
      <c r="W51" s="23">
        <f>W38*Inputs!$B$19</f>
        <v/>
      </c>
      <c r="X51" s="23">
        <f>X38*Inputs!$B$19</f>
        <v/>
      </c>
      <c r="Y51" s="23">
        <f>Y38*Inputs!$B$19</f>
        <v/>
      </c>
      <c r="Z51" s="23">
        <f>Z38*Inputs!$B$19</f>
        <v/>
      </c>
      <c r="AA51" s="23">
        <f>AA38*Inputs!$B$19</f>
        <v/>
      </c>
      <c r="AB51" s="23">
        <f>AB38*Inputs!$B$19</f>
        <v/>
      </c>
      <c r="AC51" s="23">
        <f>AC38*Inputs!$B$19</f>
        <v/>
      </c>
      <c r="AD51" s="23">
        <f>AD38*Inputs!$B$19</f>
        <v/>
      </c>
      <c r="AE51" s="23">
        <f>AE38*Inputs!$B$19</f>
        <v/>
      </c>
      <c r="AF51" s="23">
        <f>AF38*Inputs!$B$19</f>
        <v/>
      </c>
      <c r="AG51" s="23">
        <f>AG38*Inputs!$B$19</f>
        <v/>
      </c>
      <c r="AH51" s="23">
        <f>AH38*Inputs!$B$19</f>
        <v/>
      </c>
      <c r="AI51" s="23">
        <f>AI38*Inputs!$B$19</f>
        <v/>
      </c>
      <c r="AJ51" s="23">
        <f>AJ38*Inputs!$B$19</f>
        <v/>
      </c>
      <c r="AK51" s="23">
        <f>AK38*Inputs!$B$19</f>
        <v/>
      </c>
      <c r="AL51" s="23">
        <f>AL38*Inputs!$B$19</f>
        <v/>
      </c>
      <c r="AM51" s="23">
        <f>AM38*Inputs!$B$19</f>
        <v/>
      </c>
    </row>
    <row r="52">
      <c r="A52" s="16" t="inlineStr">
        <is>
          <t>Total revenue</t>
        </is>
      </c>
      <c r="B52" t="inlineStr">
        <is>
          <t>$</t>
        </is>
      </c>
      <c r="C52" s="2" t="inlineStr">
        <is>
          <t>Robot sales + RaaS fees</t>
        </is>
      </c>
      <c r="D52" s="31">
        <f>D50+D51</f>
        <v/>
      </c>
      <c r="E52" s="31">
        <f>E50+E51</f>
        <v/>
      </c>
      <c r="F52" s="31">
        <f>F50+F51</f>
        <v/>
      </c>
      <c r="G52" s="31">
        <f>G50+G51</f>
        <v/>
      </c>
      <c r="H52" s="31">
        <f>H50+H51</f>
        <v/>
      </c>
      <c r="I52" s="31">
        <f>I50+I51</f>
        <v/>
      </c>
      <c r="J52" s="31">
        <f>J50+J51</f>
        <v/>
      </c>
      <c r="K52" s="31">
        <f>K50+K51</f>
        <v/>
      </c>
      <c r="L52" s="31">
        <f>L50+L51</f>
        <v/>
      </c>
      <c r="M52" s="31">
        <f>M50+M51</f>
        <v/>
      </c>
      <c r="N52" s="31">
        <f>N50+N51</f>
        <v/>
      </c>
      <c r="O52" s="31">
        <f>O50+O51</f>
        <v/>
      </c>
      <c r="P52" s="31">
        <f>P50+P51</f>
        <v/>
      </c>
      <c r="Q52" s="31">
        <f>Q50+Q51</f>
        <v/>
      </c>
      <c r="R52" s="31">
        <f>R50+R51</f>
        <v/>
      </c>
      <c r="S52" s="31">
        <f>S50+S51</f>
        <v/>
      </c>
      <c r="T52" s="31">
        <f>T50+T51</f>
        <v/>
      </c>
      <c r="U52" s="31">
        <f>U50+U51</f>
        <v/>
      </c>
      <c r="V52" s="31">
        <f>V50+V51</f>
        <v/>
      </c>
      <c r="W52" s="31">
        <f>W50+W51</f>
        <v/>
      </c>
      <c r="X52" s="31">
        <f>X50+X51</f>
        <v/>
      </c>
      <c r="Y52" s="31">
        <f>Y50+Y51</f>
        <v/>
      </c>
      <c r="Z52" s="31">
        <f>Z50+Z51</f>
        <v/>
      </c>
      <c r="AA52" s="31">
        <f>AA50+AA51</f>
        <v/>
      </c>
      <c r="AB52" s="31">
        <f>AB50+AB51</f>
        <v/>
      </c>
      <c r="AC52" s="31">
        <f>AC50+AC51</f>
        <v/>
      </c>
      <c r="AD52" s="31">
        <f>AD50+AD51</f>
        <v/>
      </c>
      <c r="AE52" s="31">
        <f>AE50+AE51</f>
        <v/>
      </c>
      <c r="AF52" s="31">
        <f>AF50+AF51</f>
        <v/>
      </c>
      <c r="AG52" s="31">
        <f>AG50+AG51</f>
        <v/>
      </c>
      <c r="AH52" s="31">
        <f>AH50+AH51</f>
        <v/>
      </c>
      <c r="AI52" s="31">
        <f>AI50+AI51</f>
        <v/>
      </c>
      <c r="AJ52" s="31">
        <f>AJ50+AJ51</f>
        <v/>
      </c>
      <c r="AK52" s="31">
        <f>AK50+AK51</f>
        <v/>
      </c>
      <c r="AL52" s="31">
        <f>AL50+AL51</f>
        <v/>
      </c>
      <c r="AM52" s="31">
        <f>AM50+AM51</f>
        <v/>
      </c>
    </row>
    <row r="53">
      <c r="A53" s="4" t="inlineStr">
        <is>
          <t>Cost of revenue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  <c r="AA53" s="5" t="n"/>
      <c r="AB53" s="5" t="n"/>
      <c r="AC53" s="5" t="n"/>
      <c r="AD53" s="5" t="n"/>
      <c r="AE53" s="5" t="n"/>
      <c r="AF53" s="5" t="n"/>
      <c r="AG53" s="5" t="n"/>
      <c r="AH53" s="5" t="n"/>
      <c r="AI53" s="5" t="n"/>
      <c r="AJ53" s="5" t="n"/>
      <c r="AK53" s="5" t="n"/>
      <c r="AL53" s="5" t="n"/>
      <c r="AM53" s="5" t="n"/>
    </row>
    <row r="54">
      <c r="A54" s="21" t="inlineStr">
        <is>
          <t>Cost of robots sold</t>
        </is>
      </c>
      <c r="B54" t="inlineStr">
        <is>
          <t>$</t>
        </is>
      </c>
      <c r="C54" s="2" t="inlineStr">
        <is>
          <t>Robots sold x (build cost + installation + warranty)</t>
        </is>
      </c>
      <c r="D54" s="23">
        <f>D36*(D48+Inputs!$B$26+Inputs!$B$27*Inputs!$B$18)</f>
        <v/>
      </c>
      <c r="E54" s="23">
        <f>E36*(E48+Inputs!$B$26+Inputs!$B$27*Inputs!$B$18)</f>
        <v/>
      </c>
      <c r="F54" s="23">
        <f>F36*(F48+Inputs!$B$26+Inputs!$B$27*Inputs!$B$18)</f>
        <v/>
      </c>
      <c r="G54" s="23">
        <f>G36*(G48+Inputs!$B$26+Inputs!$B$27*Inputs!$B$18)</f>
        <v/>
      </c>
      <c r="H54" s="23">
        <f>H36*(H48+Inputs!$B$26+Inputs!$B$27*Inputs!$B$18)</f>
        <v/>
      </c>
      <c r="I54" s="23">
        <f>I36*(I48+Inputs!$B$26+Inputs!$B$27*Inputs!$B$18)</f>
        <v/>
      </c>
      <c r="J54" s="23">
        <f>J36*(J48+Inputs!$B$26+Inputs!$B$27*Inputs!$B$18)</f>
        <v/>
      </c>
      <c r="K54" s="23">
        <f>K36*(K48+Inputs!$B$26+Inputs!$B$27*Inputs!$B$18)</f>
        <v/>
      </c>
      <c r="L54" s="23">
        <f>L36*(L48+Inputs!$B$26+Inputs!$B$27*Inputs!$B$18)</f>
        <v/>
      </c>
      <c r="M54" s="23">
        <f>M36*(M48+Inputs!$B$26+Inputs!$B$27*Inputs!$B$18)</f>
        <v/>
      </c>
      <c r="N54" s="23">
        <f>N36*(N48+Inputs!$B$26+Inputs!$B$27*Inputs!$B$18)</f>
        <v/>
      </c>
      <c r="O54" s="23">
        <f>O36*(O48+Inputs!$B$26+Inputs!$B$27*Inputs!$B$18)</f>
        <v/>
      </c>
      <c r="P54" s="23">
        <f>P36*(P48+Inputs!$B$26+Inputs!$B$27*Inputs!$B$18)</f>
        <v/>
      </c>
      <c r="Q54" s="23">
        <f>Q36*(Q48+Inputs!$B$26+Inputs!$B$27*Inputs!$B$18)</f>
        <v/>
      </c>
      <c r="R54" s="23">
        <f>R36*(R48+Inputs!$B$26+Inputs!$B$27*Inputs!$B$18)</f>
        <v/>
      </c>
      <c r="S54" s="23">
        <f>S36*(S48+Inputs!$B$26+Inputs!$B$27*Inputs!$B$18)</f>
        <v/>
      </c>
      <c r="T54" s="23">
        <f>T36*(T48+Inputs!$B$26+Inputs!$B$27*Inputs!$B$18)</f>
        <v/>
      </c>
      <c r="U54" s="23">
        <f>U36*(U48+Inputs!$B$26+Inputs!$B$27*Inputs!$B$18)</f>
        <v/>
      </c>
      <c r="V54" s="23">
        <f>V36*(V48+Inputs!$B$26+Inputs!$B$27*Inputs!$B$18)</f>
        <v/>
      </c>
      <c r="W54" s="23">
        <f>W36*(W48+Inputs!$B$26+Inputs!$B$27*Inputs!$B$18)</f>
        <v/>
      </c>
      <c r="X54" s="23">
        <f>X36*(X48+Inputs!$B$26+Inputs!$B$27*Inputs!$B$18)</f>
        <v/>
      </c>
      <c r="Y54" s="23">
        <f>Y36*(Y48+Inputs!$B$26+Inputs!$B$27*Inputs!$B$18)</f>
        <v/>
      </c>
      <c r="Z54" s="23">
        <f>Z36*(Z48+Inputs!$B$26+Inputs!$B$27*Inputs!$B$18)</f>
        <v/>
      </c>
      <c r="AA54" s="23">
        <f>AA36*(AA48+Inputs!$B$26+Inputs!$B$27*Inputs!$B$18)</f>
        <v/>
      </c>
      <c r="AB54" s="23">
        <f>AB36*(AB48+Inputs!$B$26+Inputs!$B$27*Inputs!$B$18)</f>
        <v/>
      </c>
      <c r="AC54" s="23">
        <f>AC36*(AC48+Inputs!$B$26+Inputs!$B$27*Inputs!$B$18)</f>
        <v/>
      </c>
      <c r="AD54" s="23">
        <f>AD36*(AD48+Inputs!$B$26+Inputs!$B$27*Inputs!$B$18)</f>
        <v/>
      </c>
      <c r="AE54" s="23">
        <f>AE36*(AE48+Inputs!$B$26+Inputs!$B$27*Inputs!$B$18)</f>
        <v/>
      </c>
      <c r="AF54" s="23">
        <f>AF36*(AF48+Inputs!$B$26+Inputs!$B$27*Inputs!$B$18)</f>
        <v/>
      </c>
      <c r="AG54" s="23">
        <f>AG36*(AG48+Inputs!$B$26+Inputs!$B$27*Inputs!$B$18)</f>
        <v/>
      </c>
      <c r="AH54" s="23">
        <f>AH36*(AH48+Inputs!$B$26+Inputs!$B$27*Inputs!$B$18)</f>
        <v/>
      </c>
      <c r="AI54" s="23">
        <f>AI36*(AI48+Inputs!$B$26+Inputs!$B$27*Inputs!$B$18)</f>
        <v/>
      </c>
      <c r="AJ54" s="23">
        <f>AJ36*(AJ48+Inputs!$B$26+Inputs!$B$27*Inputs!$B$18)</f>
        <v/>
      </c>
      <c r="AK54" s="23">
        <f>AK36*(AK48+Inputs!$B$26+Inputs!$B$27*Inputs!$B$18)</f>
        <v/>
      </c>
      <c r="AL54" s="23">
        <f>AL36*(AL48+Inputs!$B$26+Inputs!$B$27*Inputs!$B$18)</f>
        <v/>
      </c>
      <c r="AM54" s="23">
        <f>AM36*(AM48+Inputs!$B$26+Inputs!$B$27*Inputs!$B$18)</f>
        <v/>
      </c>
    </row>
    <row r="55">
      <c r="A55" s="21" t="inlineStr">
        <is>
          <t>RaaS service</t>
        </is>
      </c>
      <c r="B55" t="inlineStr">
        <is>
          <t>$</t>
        </is>
      </c>
      <c r="C55" s="2" t="inlineStr">
        <is>
          <t>RaaS fleet x service cost</t>
        </is>
      </c>
      <c r="D55" s="23">
        <f>D38*Inputs!$B$28</f>
        <v/>
      </c>
      <c r="E55" s="23">
        <f>E38*Inputs!$B$28</f>
        <v/>
      </c>
      <c r="F55" s="23">
        <f>F38*Inputs!$B$28</f>
        <v/>
      </c>
      <c r="G55" s="23">
        <f>G38*Inputs!$B$28</f>
        <v/>
      </c>
      <c r="H55" s="23">
        <f>H38*Inputs!$B$28</f>
        <v/>
      </c>
      <c r="I55" s="23">
        <f>I38*Inputs!$B$28</f>
        <v/>
      </c>
      <c r="J55" s="23">
        <f>J38*Inputs!$B$28</f>
        <v/>
      </c>
      <c r="K55" s="23">
        <f>K38*Inputs!$B$28</f>
        <v/>
      </c>
      <c r="L55" s="23">
        <f>L38*Inputs!$B$28</f>
        <v/>
      </c>
      <c r="M55" s="23">
        <f>M38*Inputs!$B$28</f>
        <v/>
      </c>
      <c r="N55" s="23">
        <f>N38*Inputs!$B$28</f>
        <v/>
      </c>
      <c r="O55" s="23">
        <f>O38*Inputs!$B$28</f>
        <v/>
      </c>
      <c r="P55" s="23">
        <f>P38*Inputs!$B$28</f>
        <v/>
      </c>
      <c r="Q55" s="23">
        <f>Q38*Inputs!$B$28</f>
        <v/>
      </c>
      <c r="R55" s="23">
        <f>R38*Inputs!$B$28</f>
        <v/>
      </c>
      <c r="S55" s="23">
        <f>S38*Inputs!$B$28</f>
        <v/>
      </c>
      <c r="T55" s="23">
        <f>T38*Inputs!$B$28</f>
        <v/>
      </c>
      <c r="U55" s="23">
        <f>U38*Inputs!$B$28</f>
        <v/>
      </c>
      <c r="V55" s="23">
        <f>V38*Inputs!$B$28</f>
        <v/>
      </c>
      <c r="W55" s="23">
        <f>W38*Inputs!$B$28</f>
        <v/>
      </c>
      <c r="X55" s="23">
        <f>X38*Inputs!$B$28</f>
        <v/>
      </c>
      <c r="Y55" s="23">
        <f>Y38*Inputs!$B$28</f>
        <v/>
      </c>
      <c r="Z55" s="23">
        <f>Z38*Inputs!$B$28</f>
        <v/>
      </c>
      <c r="AA55" s="23">
        <f>AA38*Inputs!$B$28</f>
        <v/>
      </c>
      <c r="AB55" s="23">
        <f>AB38*Inputs!$B$28</f>
        <v/>
      </c>
      <c r="AC55" s="23">
        <f>AC38*Inputs!$B$28</f>
        <v/>
      </c>
      <c r="AD55" s="23">
        <f>AD38*Inputs!$B$28</f>
        <v/>
      </c>
      <c r="AE55" s="23">
        <f>AE38*Inputs!$B$28</f>
        <v/>
      </c>
      <c r="AF55" s="23">
        <f>AF38*Inputs!$B$28</f>
        <v/>
      </c>
      <c r="AG55" s="23">
        <f>AG38*Inputs!$B$28</f>
        <v/>
      </c>
      <c r="AH55" s="23">
        <f>AH38*Inputs!$B$28</f>
        <v/>
      </c>
      <c r="AI55" s="23">
        <f>AI38*Inputs!$B$28</f>
        <v/>
      </c>
      <c r="AJ55" s="23">
        <f>AJ38*Inputs!$B$28</f>
        <v/>
      </c>
      <c r="AK55" s="23">
        <f>AK38*Inputs!$B$28</f>
        <v/>
      </c>
      <c r="AL55" s="23">
        <f>AL38*Inputs!$B$28</f>
        <v/>
      </c>
      <c r="AM55" s="23">
        <f>AM38*Inputs!$B$28</f>
        <v/>
      </c>
    </row>
    <row r="56">
      <c r="A56" s="21" t="inlineStr">
        <is>
          <t>RaaS fleet depreciation</t>
        </is>
      </c>
      <c r="B56" t="inlineStr">
        <is>
          <t>$</t>
        </is>
      </c>
      <c r="C56" s="2" t="inlineStr">
        <is>
          <t>Cost of rented robots / useful life</t>
        </is>
      </c>
      <c r="D56" s="23">
        <f>SUMPRODUCT(($D$30:$AM$30&lt;=D$30)*($D$30:$AM$30&gt;D$30-Inputs!$B$29)*$D$84:$AM$84)/Inputs!$B$29</f>
        <v/>
      </c>
      <c r="E56" s="23">
        <f>SUMPRODUCT(($D$30:$AM$30&lt;=E$30)*($D$30:$AM$30&gt;E$30-Inputs!$B$29)*$D$84:$AM$84)/Inputs!$B$29</f>
        <v/>
      </c>
      <c r="F56" s="23">
        <f>SUMPRODUCT(($D$30:$AM$30&lt;=F$30)*($D$30:$AM$30&gt;F$30-Inputs!$B$29)*$D$84:$AM$84)/Inputs!$B$29</f>
        <v/>
      </c>
      <c r="G56" s="23">
        <f>SUMPRODUCT(($D$30:$AM$30&lt;=G$30)*($D$30:$AM$30&gt;G$30-Inputs!$B$29)*$D$84:$AM$84)/Inputs!$B$29</f>
        <v/>
      </c>
      <c r="H56" s="23">
        <f>SUMPRODUCT(($D$30:$AM$30&lt;=H$30)*($D$30:$AM$30&gt;H$30-Inputs!$B$29)*$D$84:$AM$84)/Inputs!$B$29</f>
        <v/>
      </c>
      <c r="I56" s="23">
        <f>SUMPRODUCT(($D$30:$AM$30&lt;=I$30)*($D$30:$AM$30&gt;I$30-Inputs!$B$29)*$D$84:$AM$84)/Inputs!$B$29</f>
        <v/>
      </c>
      <c r="J56" s="23">
        <f>SUMPRODUCT(($D$30:$AM$30&lt;=J$30)*($D$30:$AM$30&gt;J$30-Inputs!$B$29)*$D$84:$AM$84)/Inputs!$B$29</f>
        <v/>
      </c>
      <c r="K56" s="23">
        <f>SUMPRODUCT(($D$30:$AM$30&lt;=K$30)*($D$30:$AM$30&gt;K$30-Inputs!$B$29)*$D$84:$AM$84)/Inputs!$B$29</f>
        <v/>
      </c>
      <c r="L56" s="23">
        <f>SUMPRODUCT(($D$30:$AM$30&lt;=L$30)*($D$30:$AM$30&gt;L$30-Inputs!$B$29)*$D$84:$AM$84)/Inputs!$B$29</f>
        <v/>
      </c>
      <c r="M56" s="23">
        <f>SUMPRODUCT(($D$30:$AM$30&lt;=M$30)*($D$30:$AM$30&gt;M$30-Inputs!$B$29)*$D$84:$AM$84)/Inputs!$B$29</f>
        <v/>
      </c>
      <c r="N56" s="23">
        <f>SUMPRODUCT(($D$30:$AM$30&lt;=N$30)*($D$30:$AM$30&gt;N$30-Inputs!$B$29)*$D$84:$AM$84)/Inputs!$B$29</f>
        <v/>
      </c>
      <c r="O56" s="23">
        <f>SUMPRODUCT(($D$30:$AM$30&lt;=O$30)*($D$30:$AM$30&gt;O$30-Inputs!$B$29)*$D$84:$AM$84)/Inputs!$B$29</f>
        <v/>
      </c>
      <c r="P56" s="23">
        <f>SUMPRODUCT(($D$30:$AM$30&lt;=P$30)*($D$30:$AM$30&gt;P$30-Inputs!$B$29)*$D$84:$AM$84)/Inputs!$B$29</f>
        <v/>
      </c>
      <c r="Q56" s="23">
        <f>SUMPRODUCT(($D$30:$AM$30&lt;=Q$30)*($D$30:$AM$30&gt;Q$30-Inputs!$B$29)*$D$84:$AM$84)/Inputs!$B$29</f>
        <v/>
      </c>
      <c r="R56" s="23">
        <f>SUMPRODUCT(($D$30:$AM$30&lt;=R$30)*($D$30:$AM$30&gt;R$30-Inputs!$B$29)*$D$84:$AM$84)/Inputs!$B$29</f>
        <v/>
      </c>
      <c r="S56" s="23">
        <f>SUMPRODUCT(($D$30:$AM$30&lt;=S$30)*($D$30:$AM$30&gt;S$30-Inputs!$B$29)*$D$84:$AM$84)/Inputs!$B$29</f>
        <v/>
      </c>
      <c r="T56" s="23">
        <f>SUMPRODUCT(($D$30:$AM$30&lt;=T$30)*($D$30:$AM$30&gt;T$30-Inputs!$B$29)*$D$84:$AM$84)/Inputs!$B$29</f>
        <v/>
      </c>
      <c r="U56" s="23">
        <f>SUMPRODUCT(($D$30:$AM$30&lt;=U$30)*($D$30:$AM$30&gt;U$30-Inputs!$B$29)*$D$84:$AM$84)/Inputs!$B$29</f>
        <v/>
      </c>
      <c r="V56" s="23">
        <f>SUMPRODUCT(($D$30:$AM$30&lt;=V$30)*($D$30:$AM$30&gt;V$30-Inputs!$B$29)*$D$84:$AM$84)/Inputs!$B$29</f>
        <v/>
      </c>
      <c r="W56" s="23">
        <f>SUMPRODUCT(($D$30:$AM$30&lt;=W$30)*($D$30:$AM$30&gt;W$30-Inputs!$B$29)*$D$84:$AM$84)/Inputs!$B$29</f>
        <v/>
      </c>
      <c r="X56" s="23">
        <f>SUMPRODUCT(($D$30:$AM$30&lt;=X$30)*($D$30:$AM$30&gt;X$30-Inputs!$B$29)*$D$84:$AM$84)/Inputs!$B$29</f>
        <v/>
      </c>
      <c r="Y56" s="23">
        <f>SUMPRODUCT(($D$30:$AM$30&lt;=Y$30)*($D$30:$AM$30&gt;Y$30-Inputs!$B$29)*$D$84:$AM$84)/Inputs!$B$29</f>
        <v/>
      </c>
      <c r="Z56" s="23">
        <f>SUMPRODUCT(($D$30:$AM$30&lt;=Z$30)*($D$30:$AM$30&gt;Z$30-Inputs!$B$29)*$D$84:$AM$84)/Inputs!$B$29</f>
        <v/>
      </c>
      <c r="AA56" s="23">
        <f>SUMPRODUCT(($D$30:$AM$30&lt;=AA$30)*($D$30:$AM$30&gt;AA$30-Inputs!$B$29)*$D$84:$AM$84)/Inputs!$B$29</f>
        <v/>
      </c>
      <c r="AB56" s="23">
        <f>SUMPRODUCT(($D$30:$AM$30&lt;=AB$30)*($D$30:$AM$30&gt;AB$30-Inputs!$B$29)*$D$84:$AM$84)/Inputs!$B$29</f>
        <v/>
      </c>
      <c r="AC56" s="23">
        <f>SUMPRODUCT(($D$30:$AM$30&lt;=AC$30)*($D$30:$AM$30&gt;AC$30-Inputs!$B$29)*$D$84:$AM$84)/Inputs!$B$29</f>
        <v/>
      </c>
      <c r="AD56" s="23">
        <f>SUMPRODUCT(($D$30:$AM$30&lt;=AD$30)*($D$30:$AM$30&gt;AD$30-Inputs!$B$29)*$D$84:$AM$84)/Inputs!$B$29</f>
        <v/>
      </c>
      <c r="AE56" s="23">
        <f>SUMPRODUCT(($D$30:$AM$30&lt;=AE$30)*($D$30:$AM$30&gt;AE$30-Inputs!$B$29)*$D$84:$AM$84)/Inputs!$B$29</f>
        <v/>
      </c>
      <c r="AF56" s="23">
        <f>SUMPRODUCT(($D$30:$AM$30&lt;=AF$30)*($D$30:$AM$30&gt;AF$30-Inputs!$B$29)*$D$84:$AM$84)/Inputs!$B$29</f>
        <v/>
      </c>
      <c r="AG56" s="23">
        <f>SUMPRODUCT(($D$30:$AM$30&lt;=AG$30)*($D$30:$AM$30&gt;AG$30-Inputs!$B$29)*$D$84:$AM$84)/Inputs!$B$29</f>
        <v/>
      </c>
      <c r="AH56" s="23">
        <f>SUMPRODUCT(($D$30:$AM$30&lt;=AH$30)*($D$30:$AM$30&gt;AH$30-Inputs!$B$29)*$D$84:$AM$84)/Inputs!$B$29</f>
        <v/>
      </c>
      <c r="AI56" s="23">
        <f>SUMPRODUCT(($D$30:$AM$30&lt;=AI$30)*($D$30:$AM$30&gt;AI$30-Inputs!$B$29)*$D$84:$AM$84)/Inputs!$B$29</f>
        <v/>
      </c>
      <c r="AJ56" s="23">
        <f>SUMPRODUCT(($D$30:$AM$30&lt;=AJ$30)*($D$30:$AM$30&gt;AJ$30-Inputs!$B$29)*$D$84:$AM$84)/Inputs!$B$29</f>
        <v/>
      </c>
      <c r="AK56" s="23">
        <f>SUMPRODUCT(($D$30:$AM$30&lt;=AK$30)*($D$30:$AM$30&gt;AK$30-Inputs!$B$29)*$D$84:$AM$84)/Inputs!$B$29</f>
        <v/>
      </c>
      <c r="AL56" s="23">
        <f>SUMPRODUCT(($D$30:$AM$30&lt;=AL$30)*($D$30:$AM$30&gt;AL$30-Inputs!$B$29)*$D$84:$AM$84)/Inputs!$B$29</f>
        <v/>
      </c>
      <c r="AM56" s="23">
        <f>SUMPRODUCT(($D$30:$AM$30&lt;=AM$30)*($D$30:$AM$30&gt;AM$30-Inputs!$B$29)*$D$84:$AM$84)/Inputs!$B$29</f>
        <v/>
      </c>
    </row>
    <row r="57">
      <c r="A57" s="21" t="inlineStr">
        <is>
          <t>Total cost of revenue</t>
        </is>
      </c>
      <c r="B57" t="inlineStr">
        <is>
          <t>$</t>
        </is>
      </c>
      <c r="C57" s="2" t="inlineStr">
        <is>
          <t>Cost of robots sold + service + fleet depreciation</t>
        </is>
      </c>
      <c r="D57" s="23">
        <f>D54+D55+D56</f>
        <v/>
      </c>
      <c r="E57" s="23">
        <f>E54+E55+E56</f>
        <v/>
      </c>
      <c r="F57" s="23">
        <f>F54+F55+F56</f>
        <v/>
      </c>
      <c r="G57" s="23">
        <f>G54+G55+G56</f>
        <v/>
      </c>
      <c r="H57" s="23">
        <f>H54+H55+H56</f>
        <v/>
      </c>
      <c r="I57" s="23">
        <f>I54+I55+I56</f>
        <v/>
      </c>
      <c r="J57" s="23">
        <f>J54+J55+J56</f>
        <v/>
      </c>
      <c r="K57" s="23">
        <f>K54+K55+K56</f>
        <v/>
      </c>
      <c r="L57" s="23">
        <f>L54+L55+L56</f>
        <v/>
      </c>
      <c r="M57" s="23">
        <f>M54+M55+M56</f>
        <v/>
      </c>
      <c r="N57" s="23">
        <f>N54+N55+N56</f>
        <v/>
      </c>
      <c r="O57" s="23">
        <f>O54+O55+O56</f>
        <v/>
      </c>
      <c r="P57" s="23">
        <f>P54+P55+P56</f>
        <v/>
      </c>
      <c r="Q57" s="23">
        <f>Q54+Q55+Q56</f>
        <v/>
      </c>
      <c r="R57" s="23">
        <f>R54+R55+R56</f>
        <v/>
      </c>
      <c r="S57" s="23">
        <f>S54+S55+S56</f>
        <v/>
      </c>
      <c r="T57" s="23">
        <f>T54+T55+T56</f>
        <v/>
      </c>
      <c r="U57" s="23">
        <f>U54+U55+U56</f>
        <v/>
      </c>
      <c r="V57" s="23">
        <f>V54+V55+V56</f>
        <v/>
      </c>
      <c r="W57" s="23">
        <f>W54+W55+W56</f>
        <v/>
      </c>
      <c r="X57" s="23">
        <f>X54+X55+X56</f>
        <v/>
      </c>
      <c r="Y57" s="23">
        <f>Y54+Y55+Y56</f>
        <v/>
      </c>
      <c r="Z57" s="23">
        <f>Z54+Z55+Z56</f>
        <v/>
      </c>
      <c r="AA57" s="23">
        <f>AA54+AA55+AA56</f>
        <v/>
      </c>
      <c r="AB57" s="23">
        <f>AB54+AB55+AB56</f>
        <v/>
      </c>
      <c r="AC57" s="23">
        <f>AC54+AC55+AC56</f>
        <v/>
      </c>
      <c r="AD57" s="23">
        <f>AD54+AD55+AD56</f>
        <v/>
      </c>
      <c r="AE57" s="23">
        <f>AE54+AE55+AE56</f>
        <v/>
      </c>
      <c r="AF57" s="23">
        <f>AF54+AF55+AF56</f>
        <v/>
      </c>
      <c r="AG57" s="23">
        <f>AG54+AG55+AG56</f>
        <v/>
      </c>
      <c r="AH57" s="23">
        <f>AH54+AH55+AH56</f>
        <v/>
      </c>
      <c r="AI57" s="23">
        <f>AI54+AI55+AI56</f>
        <v/>
      </c>
      <c r="AJ57" s="23">
        <f>AJ54+AJ55+AJ56</f>
        <v/>
      </c>
      <c r="AK57" s="23">
        <f>AK54+AK55+AK56</f>
        <v/>
      </c>
      <c r="AL57" s="23">
        <f>AL54+AL55+AL56</f>
        <v/>
      </c>
      <c r="AM57" s="23">
        <f>AM54+AM55+AM56</f>
        <v/>
      </c>
    </row>
    <row r="58">
      <c r="A58" s="16" t="inlineStr">
        <is>
          <t>Gross profit</t>
        </is>
      </c>
      <c r="B58" t="inlineStr">
        <is>
          <t>$</t>
        </is>
      </c>
      <c r="C58" s="2" t="inlineStr">
        <is>
          <t>Revenue - cost of revenue</t>
        </is>
      </c>
      <c r="D58" s="31">
        <f>D52-D57</f>
        <v/>
      </c>
      <c r="E58" s="31">
        <f>E52-E57</f>
        <v/>
      </c>
      <c r="F58" s="31">
        <f>F52-F57</f>
        <v/>
      </c>
      <c r="G58" s="31">
        <f>G52-G57</f>
        <v/>
      </c>
      <c r="H58" s="31">
        <f>H52-H57</f>
        <v/>
      </c>
      <c r="I58" s="31">
        <f>I52-I57</f>
        <v/>
      </c>
      <c r="J58" s="31">
        <f>J52-J57</f>
        <v/>
      </c>
      <c r="K58" s="31">
        <f>K52-K57</f>
        <v/>
      </c>
      <c r="L58" s="31">
        <f>L52-L57</f>
        <v/>
      </c>
      <c r="M58" s="31">
        <f>M52-M57</f>
        <v/>
      </c>
      <c r="N58" s="31">
        <f>N52-N57</f>
        <v/>
      </c>
      <c r="O58" s="31">
        <f>O52-O57</f>
        <v/>
      </c>
      <c r="P58" s="31">
        <f>P52-P57</f>
        <v/>
      </c>
      <c r="Q58" s="31">
        <f>Q52-Q57</f>
        <v/>
      </c>
      <c r="R58" s="31">
        <f>R52-R57</f>
        <v/>
      </c>
      <c r="S58" s="31">
        <f>S52-S57</f>
        <v/>
      </c>
      <c r="T58" s="31">
        <f>T52-T57</f>
        <v/>
      </c>
      <c r="U58" s="31">
        <f>U52-U57</f>
        <v/>
      </c>
      <c r="V58" s="31">
        <f>V52-V57</f>
        <v/>
      </c>
      <c r="W58" s="31">
        <f>W52-W57</f>
        <v/>
      </c>
      <c r="X58" s="31">
        <f>X52-X57</f>
        <v/>
      </c>
      <c r="Y58" s="31">
        <f>Y52-Y57</f>
        <v/>
      </c>
      <c r="Z58" s="31">
        <f>Z52-Z57</f>
        <v/>
      </c>
      <c r="AA58" s="31">
        <f>AA52-AA57</f>
        <v/>
      </c>
      <c r="AB58" s="31">
        <f>AB52-AB57</f>
        <v/>
      </c>
      <c r="AC58" s="31">
        <f>AC52-AC57</f>
        <v/>
      </c>
      <c r="AD58" s="31">
        <f>AD52-AD57</f>
        <v/>
      </c>
      <c r="AE58" s="31">
        <f>AE52-AE57</f>
        <v/>
      </c>
      <c r="AF58" s="31">
        <f>AF52-AF57</f>
        <v/>
      </c>
      <c r="AG58" s="31">
        <f>AG52-AG57</f>
        <v/>
      </c>
      <c r="AH58" s="31">
        <f>AH52-AH57</f>
        <v/>
      </c>
      <c r="AI58" s="31">
        <f>AI52-AI57</f>
        <v/>
      </c>
      <c r="AJ58" s="31">
        <f>AJ52-AJ57</f>
        <v/>
      </c>
      <c r="AK58" s="31">
        <f>AK52-AK57</f>
        <v/>
      </c>
      <c r="AL58" s="31">
        <f>AL52-AL57</f>
        <v/>
      </c>
      <c r="AM58" s="31">
        <f>AM52-AM57</f>
        <v/>
      </c>
    </row>
    <row r="59">
      <c r="A59" s="21" t="inlineStr">
        <is>
          <t>Gross margin</t>
        </is>
      </c>
      <c r="B59" t="inlineStr">
        <is>
          <t>%</t>
        </is>
      </c>
      <c r="C59" s="2" t="inlineStr">
        <is>
          <t>Gross profit / revenue</t>
        </is>
      </c>
      <c r="D59" s="24">
        <f>IF(D52=0,0,D58/D52)</f>
        <v/>
      </c>
      <c r="E59" s="24">
        <f>IF(E52=0,0,E58/E52)</f>
        <v/>
      </c>
      <c r="F59" s="24">
        <f>IF(F52=0,0,F58/F52)</f>
        <v/>
      </c>
      <c r="G59" s="24">
        <f>IF(G52=0,0,G58/G52)</f>
        <v/>
      </c>
      <c r="H59" s="24">
        <f>IF(H52=0,0,H58/H52)</f>
        <v/>
      </c>
      <c r="I59" s="24">
        <f>IF(I52=0,0,I58/I52)</f>
        <v/>
      </c>
      <c r="J59" s="24">
        <f>IF(J52=0,0,J58/J52)</f>
        <v/>
      </c>
      <c r="K59" s="24">
        <f>IF(K52=0,0,K58/K52)</f>
        <v/>
      </c>
      <c r="L59" s="24">
        <f>IF(L52=0,0,L58/L52)</f>
        <v/>
      </c>
      <c r="M59" s="24">
        <f>IF(M52=0,0,M58/M52)</f>
        <v/>
      </c>
      <c r="N59" s="24">
        <f>IF(N52=0,0,N58/N52)</f>
        <v/>
      </c>
      <c r="O59" s="24">
        <f>IF(O52=0,0,O58/O52)</f>
        <v/>
      </c>
      <c r="P59" s="24">
        <f>IF(P52=0,0,P58/P52)</f>
        <v/>
      </c>
      <c r="Q59" s="24">
        <f>IF(Q52=0,0,Q58/Q52)</f>
        <v/>
      </c>
      <c r="R59" s="24">
        <f>IF(R52=0,0,R58/R52)</f>
        <v/>
      </c>
      <c r="S59" s="24">
        <f>IF(S52=0,0,S58/S52)</f>
        <v/>
      </c>
      <c r="T59" s="24">
        <f>IF(T52=0,0,T58/T52)</f>
        <v/>
      </c>
      <c r="U59" s="24">
        <f>IF(U52=0,0,U58/U52)</f>
        <v/>
      </c>
      <c r="V59" s="24">
        <f>IF(V52=0,0,V58/V52)</f>
        <v/>
      </c>
      <c r="W59" s="24">
        <f>IF(W52=0,0,W58/W52)</f>
        <v/>
      </c>
      <c r="X59" s="24">
        <f>IF(X52=0,0,X58/X52)</f>
        <v/>
      </c>
      <c r="Y59" s="24">
        <f>IF(Y52=0,0,Y58/Y52)</f>
        <v/>
      </c>
      <c r="Z59" s="24">
        <f>IF(Z52=0,0,Z58/Z52)</f>
        <v/>
      </c>
      <c r="AA59" s="24">
        <f>IF(AA52=0,0,AA58/AA52)</f>
        <v/>
      </c>
      <c r="AB59" s="24">
        <f>IF(AB52=0,0,AB58/AB52)</f>
        <v/>
      </c>
      <c r="AC59" s="24">
        <f>IF(AC52=0,0,AC58/AC52)</f>
        <v/>
      </c>
      <c r="AD59" s="24">
        <f>IF(AD52=0,0,AD58/AD52)</f>
        <v/>
      </c>
      <c r="AE59" s="24">
        <f>IF(AE52=0,0,AE58/AE52)</f>
        <v/>
      </c>
      <c r="AF59" s="24">
        <f>IF(AF52=0,0,AF58/AF52)</f>
        <v/>
      </c>
      <c r="AG59" s="24">
        <f>IF(AG52=0,0,AG58/AG52)</f>
        <v/>
      </c>
      <c r="AH59" s="24">
        <f>IF(AH52=0,0,AH58/AH52)</f>
        <v/>
      </c>
      <c r="AI59" s="24">
        <f>IF(AI52=0,0,AI58/AI52)</f>
        <v/>
      </c>
      <c r="AJ59" s="24">
        <f>IF(AJ52=0,0,AJ58/AJ52)</f>
        <v/>
      </c>
      <c r="AK59" s="24">
        <f>IF(AK52=0,0,AK58/AK52)</f>
        <v/>
      </c>
      <c r="AL59" s="24">
        <f>IF(AL52=0,0,AL58/AL52)</f>
        <v/>
      </c>
      <c r="AM59" s="24">
        <f>IF(AM52=0,0,AM58/AM52)</f>
        <v/>
      </c>
    </row>
    <row r="60">
      <c r="A60" s="4" t="inlineStr">
        <is>
          <t>Operating costs</t>
        </is>
      </c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  <c r="Y60" s="5" t="n"/>
      <c r="Z60" s="5" t="n"/>
      <c r="AA60" s="5" t="n"/>
      <c r="AB60" s="5" t="n"/>
      <c r="AC60" s="5" t="n"/>
      <c r="AD60" s="5" t="n"/>
      <c r="AE60" s="5" t="n"/>
      <c r="AF60" s="5" t="n"/>
      <c r="AG60" s="5" t="n"/>
      <c r="AH60" s="5" t="n"/>
      <c r="AI60" s="5" t="n"/>
      <c r="AJ60" s="5" t="n"/>
      <c r="AK60" s="5" t="n"/>
      <c r="AL60" s="5" t="n"/>
      <c r="AM60" s="5" t="n"/>
    </row>
    <row r="61">
      <c r="A61" s="21" t="inlineStr">
        <is>
          <t>Headcount</t>
        </is>
      </c>
      <c r="B61" t="inlineStr">
        <is>
          <t>people</t>
        </is>
      </c>
      <c r="C61" s="2" t="inlineStr">
        <is>
          <t>Hires whose start month has come</t>
        </is>
      </c>
      <c r="D61" s="22">
        <f>SUMPRODUCT((Inputs!$C$53:$C$86&gt;0)*(Inputs!$C$53:$C$86&lt;=D$30))</f>
        <v/>
      </c>
      <c r="E61" s="22">
        <f>SUMPRODUCT((Inputs!$C$53:$C$86&gt;0)*(Inputs!$C$53:$C$86&lt;=E$30))</f>
        <v/>
      </c>
      <c r="F61" s="22">
        <f>SUMPRODUCT((Inputs!$C$53:$C$86&gt;0)*(Inputs!$C$53:$C$86&lt;=F$30))</f>
        <v/>
      </c>
      <c r="G61" s="22">
        <f>SUMPRODUCT((Inputs!$C$53:$C$86&gt;0)*(Inputs!$C$53:$C$86&lt;=G$30))</f>
        <v/>
      </c>
      <c r="H61" s="22">
        <f>SUMPRODUCT((Inputs!$C$53:$C$86&gt;0)*(Inputs!$C$53:$C$86&lt;=H$30))</f>
        <v/>
      </c>
      <c r="I61" s="22">
        <f>SUMPRODUCT((Inputs!$C$53:$C$86&gt;0)*(Inputs!$C$53:$C$86&lt;=I$30))</f>
        <v/>
      </c>
      <c r="J61" s="22">
        <f>SUMPRODUCT((Inputs!$C$53:$C$86&gt;0)*(Inputs!$C$53:$C$86&lt;=J$30))</f>
        <v/>
      </c>
      <c r="K61" s="22">
        <f>SUMPRODUCT((Inputs!$C$53:$C$86&gt;0)*(Inputs!$C$53:$C$86&lt;=K$30))</f>
        <v/>
      </c>
      <c r="L61" s="22">
        <f>SUMPRODUCT((Inputs!$C$53:$C$86&gt;0)*(Inputs!$C$53:$C$86&lt;=L$30))</f>
        <v/>
      </c>
      <c r="M61" s="22">
        <f>SUMPRODUCT((Inputs!$C$53:$C$86&gt;0)*(Inputs!$C$53:$C$86&lt;=M$30))</f>
        <v/>
      </c>
      <c r="N61" s="22">
        <f>SUMPRODUCT((Inputs!$C$53:$C$86&gt;0)*(Inputs!$C$53:$C$86&lt;=N$30))</f>
        <v/>
      </c>
      <c r="O61" s="22">
        <f>SUMPRODUCT((Inputs!$C$53:$C$86&gt;0)*(Inputs!$C$53:$C$86&lt;=O$30))</f>
        <v/>
      </c>
      <c r="P61" s="22">
        <f>SUMPRODUCT((Inputs!$C$53:$C$86&gt;0)*(Inputs!$C$53:$C$86&lt;=P$30))</f>
        <v/>
      </c>
      <c r="Q61" s="22">
        <f>SUMPRODUCT((Inputs!$C$53:$C$86&gt;0)*(Inputs!$C$53:$C$86&lt;=Q$30))</f>
        <v/>
      </c>
      <c r="R61" s="22">
        <f>SUMPRODUCT((Inputs!$C$53:$C$86&gt;0)*(Inputs!$C$53:$C$86&lt;=R$30))</f>
        <v/>
      </c>
      <c r="S61" s="22">
        <f>SUMPRODUCT((Inputs!$C$53:$C$86&gt;0)*(Inputs!$C$53:$C$86&lt;=S$30))</f>
        <v/>
      </c>
      <c r="T61" s="22">
        <f>SUMPRODUCT((Inputs!$C$53:$C$86&gt;0)*(Inputs!$C$53:$C$86&lt;=T$30))</f>
        <v/>
      </c>
      <c r="U61" s="22">
        <f>SUMPRODUCT((Inputs!$C$53:$C$86&gt;0)*(Inputs!$C$53:$C$86&lt;=U$30))</f>
        <v/>
      </c>
      <c r="V61" s="22">
        <f>SUMPRODUCT((Inputs!$C$53:$C$86&gt;0)*(Inputs!$C$53:$C$86&lt;=V$30))</f>
        <v/>
      </c>
      <c r="W61" s="22">
        <f>SUMPRODUCT((Inputs!$C$53:$C$86&gt;0)*(Inputs!$C$53:$C$86&lt;=W$30))</f>
        <v/>
      </c>
      <c r="X61" s="22">
        <f>SUMPRODUCT((Inputs!$C$53:$C$86&gt;0)*(Inputs!$C$53:$C$86&lt;=X$30))</f>
        <v/>
      </c>
      <c r="Y61" s="22">
        <f>SUMPRODUCT((Inputs!$C$53:$C$86&gt;0)*(Inputs!$C$53:$C$86&lt;=Y$30))</f>
        <v/>
      </c>
      <c r="Z61" s="22">
        <f>SUMPRODUCT((Inputs!$C$53:$C$86&gt;0)*(Inputs!$C$53:$C$86&lt;=Z$30))</f>
        <v/>
      </c>
      <c r="AA61" s="22">
        <f>SUMPRODUCT((Inputs!$C$53:$C$86&gt;0)*(Inputs!$C$53:$C$86&lt;=AA$30))</f>
        <v/>
      </c>
      <c r="AB61" s="22">
        <f>SUMPRODUCT((Inputs!$C$53:$C$86&gt;0)*(Inputs!$C$53:$C$86&lt;=AB$30))</f>
        <v/>
      </c>
      <c r="AC61" s="22">
        <f>SUMPRODUCT((Inputs!$C$53:$C$86&gt;0)*(Inputs!$C$53:$C$86&lt;=AC$30))</f>
        <v/>
      </c>
      <c r="AD61" s="22">
        <f>SUMPRODUCT((Inputs!$C$53:$C$86&gt;0)*(Inputs!$C$53:$C$86&lt;=AD$30))</f>
        <v/>
      </c>
      <c r="AE61" s="22">
        <f>SUMPRODUCT((Inputs!$C$53:$C$86&gt;0)*(Inputs!$C$53:$C$86&lt;=AE$30))</f>
        <v/>
      </c>
      <c r="AF61" s="22">
        <f>SUMPRODUCT((Inputs!$C$53:$C$86&gt;0)*(Inputs!$C$53:$C$86&lt;=AF$30))</f>
        <v/>
      </c>
      <c r="AG61" s="22">
        <f>SUMPRODUCT((Inputs!$C$53:$C$86&gt;0)*(Inputs!$C$53:$C$86&lt;=AG$30))</f>
        <v/>
      </c>
      <c r="AH61" s="22">
        <f>SUMPRODUCT((Inputs!$C$53:$C$86&gt;0)*(Inputs!$C$53:$C$86&lt;=AH$30))</f>
        <v/>
      </c>
      <c r="AI61" s="22">
        <f>SUMPRODUCT((Inputs!$C$53:$C$86&gt;0)*(Inputs!$C$53:$C$86&lt;=AI$30))</f>
        <v/>
      </c>
      <c r="AJ61" s="22">
        <f>SUMPRODUCT((Inputs!$C$53:$C$86&gt;0)*(Inputs!$C$53:$C$86&lt;=AJ$30))</f>
        <v/>
      </c>
      <c r="AK61" s="22">
        <f>SUMPRODUCT((Inputs!$C$53:$C$86&gt;0)*(Inputs!$C$53:$C$86&lt;=AK$30))</f>
        <v/>
      </c>
      <c r="AL61" s="22">
        <f>SUMPRODUCT((Inputs!$C$53:$C$86&gt;0)*(Inputs!$C$53:$C$86&lt;=AL$30))</f>
        <v/>
      </c>
      <c r="AM61" s="22">
        <f>SUMPRODUCT((Inputs!$C$53:$C$86&gt;0)*(Inputs!$C$53:$C$86&lt;=AM$30))</f>
        <v/>
      </c>
    </row>
    <row r="62">
      <c r="A62" s="21" t="inlineStr">
        <is>
          <t>Payroll</t>
        </is>
      </c>
      <c r="B62" t="inlineStr">
        <is>
          <t>$</t>
        </is>
      </c>
      <c r="C62" s="2" t="inlineStr">
        <is>
          <t>Salaries x (1 + payroll taxes)</t>
        </is>
      </c>
      <c r="D62" s="23">
        <f>SUMPRODUCT((Inputs!$C$53:$C$86&gt;0)*(Inputs!$C$53:$C$86&lt;=D$30)*Inputs!$B$53:$B$86)*(1+Inputs!$B$35)</f>
        <v/>
      </c>
      <c r="E62" s="23">
        <f>SUMPRODUCT((Inputs!$C$53:$C$86&gt;0)*(Inputs!$C$53:$C$86&lt;=E$30)*Inputs!$B$53:$B$86)*(1+Inputs!$B$35)</f>
        <v/>
      </c>
      <c r="F62" s="23">
        <f>SUMPRODUCT((Inputs!$C$53:$C$86&gt;0)*(Inputs!$C$53:$C$86&lt;=F$30)*Inputs!$B$53:$B$86)*(1+Inputs!$B$35)</f>
        <v/>
      </c>
      <c r="G62" s="23">
        <f>SUMPRODUCT((Inputs!$C$53:$C$86&gt;0)*(Inputs!$C$53:$C$86&lt;=G$30)*Inputs!$B$53:$B$86)*(1+Inputs!$B$35)</f>
        <v/>
      </c>
      <c r="H62" s="23">
        <f>SUMPRODUCT((Inputs!$C$53:$C$86&gt;0)*(Inputs!$C$53:$C$86&lt;=H$30)*Inputs!$B$53:$B$86)*(1+Inputs!$B$35)</f>
        <v/>
      </c>
      <c r="I62" s="23">
        <f>SUMPRODUCT((Inputs!$C$53:$C$86&gt;0)*(Inputs!$C$53:$C$86&lt;=I$30)*Inputs!$B$53:$B$86)*(1+Inputs!$B$35)</f>
        <v/>
      </c>
      <c r="J62" s="23">
        <f>SUMPRODUCT((Inputs!$C$53:$C$86&gt;0)*(Inputs!$C$53:$C$86&lt;=J$30)*Inputs!$B$53:$B$86)*(1+Inputs!$B$35)</f>
        <v/>
      </c>
      <c r="K62" s="23">
        <f>SUMPRODUCT((Inputs!$C$53:$C$86&gt;0)*(Inputs!$C$53:$C$86&lt;=K$30)*Inputs!$B$53:$B$86)*(1+Inputs!$B$35)</f>
        <v/>
      </c>
      <c r="L62" s="23">
        <f>SUMPRODUCT((Inputs!$C$53:$C$86&gt;0)*(Inputs!$C$53:$C$86&lt;=L$30)*Inputs!$B$53:$B$86)*(1+Inputs!$B$35)</f>
        <v/>
      </c>
      <c r="M62" s="23">
        <f>SUMPRODUCT((Inputs!$C$53:$C$86&gt;0)*(Inputs!$C$53:$C$86&lt;=M$30)*Inputs!$B$53:$B$86)*(1+Inputs!$B$35)</f>
        <v/>
      </c>
      <c r="N62" s="23">
        <f>SUMPRODUCT((Inputs!$C$53:$C$86&gt;0)*(Inputs!$C$53:$C$86&lt;=N$30)*Inputs!$B$53:$B$86)*(1+Inputs!$B$35)</f>
        <v/>
      </c>
      <c r="O62" s="23">
        <f>SUMPRODUCT((Inputs!$C$53:$C$86&gt;0)*(Inputs!$C$53:$C$86&lt;=O$30)*Inputs!$B$53:$B$86)*(1+Inputs!$B$35)</f>
        <v/>
      </c>
      <c r="P62" s="23">
        <f>SUMPRODUCT((Inputs!$C$53:$C$86&gt;0)*(Inputs!$C$53:$C$86&lt;=P$30)*Inputs!$B$53:$B$86)*(1+Inputs!$B$35)</f>
        <v/>
      </c>
      <c r="Q62" s="23">
        <f>SUMPRODUCT((Inputs!$C$53:$C$86&gt;0)*(Inputs!$C$53:$C$86&lt;=Q$30)*Inputs!$B$53:$B$86)*(1+Inputs!$B$35)</f>
        <v/>
      </c>
      <c r="R62" s="23">
        <f>SUMPRODUCT((Inputs!$C$53:$C$86&gt;0)*(Inputs!$C$53:$C$86&lt;=R$30)*Inputs!$B$53:$B$86)*(1+Inputs!$B$35)</f>
        <v/>
      </c>
      <c r="S62" s="23">
        <f>SUMPRODUCT((Inputs!$C$53:$C$86&gt;0)*(Inputs!$C$53:$C$86&lt;=S$30)*Inputs!$B$53:$B$86)*(1+Inputs!$B$35)</f>
        <v/>
      </c>
      <c r="T62" s="23">
        <f>SUMPRODUCT((Inputs!$C$53:$C$86&gt;0)*(Inputs!$C$53:$C$86&lt;=T$30)*Inputs!$B$53:$B$86)*(1+Inputs!$B$35)</f>
        <v/>
      </c>
      <c r="U62" s="23">
        <f>SUMPRODUCT((Inputs!$C$53:$C$86&gt;0)*(Inputs!$C$53:$C$86&lt;=U$30)*Inputs!$B$53:$B$86)*(1+Inputs!$B$35)</f>
        <v/>
      </c>
      <c r="V62" s="23">
        <f>SUMPRODUCT((Inputs!$C$53:$C$86&gt;0)*(Inputs!$C$53:$C$86&lt;=V$30)*Inputs!$B$53:$B$86)*(1+Inputs!$B$35)</f>
        <v/>
      </c>
      <c r="W62" s="23">
        <f>SUMPRODUCT((Inputs!$C$53:$C$86&gt;0)*(Inputs!$C$53:$C$86&lt;=W$30)*Inputs!$B$53:$B$86)*(1+Inputs!$B$35)</f>
        <v/>
      </c>
      <c r="X62" s="23">
        <f>SUMPRODUCT((Inputs!$C$53:$C$86&gt;0)*(Inputs!$C$53:$C$86&lt;=X$30)*Inputs!$B$53:$B$86)*(1+Inputs!$B$35)</f>
        <v/>
      </c>
      <c r="Y62" s="23">
        <f>SUMPRODUCT((Inputs!$C$53:$C$86&gt;0)*(Inputs!$C$53:$C$86&lt;=Y$30)*Inputs!$B$53:$B$86)*(1+Inputs!$B$35)</f>
        <v/>
      </c>
      <c r="Z62" s="23">
        <f>SUMPRODUCT((Inputs!$C$53:$C$86&gt;0)*(Inputs!$C$53:$C$86&lt;=Z$30)*Inputs!$B$53:$B$86)*(1+Inputs!$B$35)</f>
        <v/>
      </c>
      <c r="AA62" s="23">
        <f>SUMPRODUCT((Inputs!$C$53:$C$86&gt;0)*(Inputs!$C$53:$C$86&lt;=AA$30)*Inputs!$B$53:$B$86)*(1+Inputs!$B$35)</f>
        <v/>
      </c>
      <c r="AB62" s="23">
        <f>SUMPRODUCT((Inputs!$C$53:$C$86&gt;0)*(Inputs!$C$53:$C$86&lt;=AB$30)*Inputs!$B$53:$B$86)*(1+Inputs!$B$35)</f>
        <v/>
      </c>
      <c r="AC62" s="23">
        <f>SUMPRODUCT((Inputs!$C$53:$C$86&gt;0)*(Inputs!$C$53:$C$86&lt;=AC$30)*Inputs!$B$53:$B$86)*(1+Inputs!$B$35)</f>
        <v/>
      </c>
      <c r="AD62" s="23">
        <f>SUMPRODUCT((Inputs!$C$53:$C$86&gt;0)*(Inputs!$C$53:$C$86&lt;=AD$30)*Inputs!$B$53:$B$86)*(1+Inputs!$B$35)</f>
        <v/>
      </c>
      <c r="AE62" s="23">
        <f>SUMPRODUCT((Inputs!$C$53:$C$86&gt;0)*(Inputs!$C$53:$C$86&lt;=AE$30)*Inputs!$B$53:$B$86)*(1+Inputs!$B$35)</f>
        <v/>
      </c>
      <c r="AF62" s="23">
        <f>SUMPRODUCT((Inputs!$C$53:$C$86&gt;0)*(Inputs!$C$53:$C$86&lt;=AF$30)*Inputs!$B$53:$B$86)*(1+Inputs!$B$35)</f>
        <v/>
      </c>
      <c r="AG62" s="23">
        <f>SUMPRODUCT((Inputs!$C$53:$C$86&gt;0)*(Inputs!$C$53:$C$86&lt;=AG$30)*Inputs!$B$53:$B$86)*(1+Inputs!$B$35)</f>
        <v/>
      </c>
      <c r="AH62" s="23">
        <f>SUMPRODUCT((Inputs!$C$53:$C$86&gt;0)*(Inputs!$C$53:$C$86&lt;=AH$30)*Inputs!$B$53:$B$86)*(1+Inputs!$B$35)</f>
        <v/>
      </c>
      <c r="AI62" s="23">
        <f>SUMPRODUCT((Inputs!$C$53:$C$86&gt;0)*(Inputs!$C$53:$C$86&lt;=AI$30)*Inputs!$B$53:$B$86)*(1+Inputs!$B$35)</f>
        <v/>
      </c>
      <c r="AJ62" s="23">
        <f>SUMPRODUCT((Inputs!$C$53:$C$86&gt;0)*(Inputs!$C$53:$C$86&lt;=AJ$30)*Inputs!$B$53:$B$86)*(1+Inputs!$B$35)</f>
        <v/>
      </c>
      <c r="AK62" s="23">
        <f>SUMPRODUCT((Inputs!$C$53:$C$86&gt;0)*(Inputs!$C$53:$C$86&lt;=AK$30)*Inputs!$B$53:$B$86)*(1+Inputs!$B$35)</f>
        <v/>
      </c>
      <c r="AL62" s="23">
        <f>SUMPRODUCT((Inputs!$C$53:$C$86&gt;0)*(Inputs!$C$53:$C$86&lt;=AL$30)*Inputs!$B$53:$B$86)*(1+Inputs!$B$35)</f>
        <v/>
      </c>
      <c r="AM62" s="23">
        <f>SUMPRODUCT((Inputs!$C$53:$C$86&gt;0)*(Inputs!$C$53:$C$86&lt;=AM$30)*Inputs!$B$53:$B$86)*(1+Inputs!$B$35)</f>
        <v/>
      </c>
    </row>
    <row r="63">
      <c r="A63" s="21" t="inlineStr">
        <is>
          <t>R&amp;D materials, prototypes and certification</t>
        </is>
      </c>
      <c r="B63" t="inlineStr">
        <is>
          <t>$</t>
        </is>
      </c>
      <c r="C63" s="2" t="inlineStr">
        <is>
          <t>From Inputs</t>
        </is>
      </c>
      <c r="D63" s="23">
        <f>Inputs!$B$37</f>
        <v/>
      </c>
      <c r="E63" s="23">
        <f>Inputs!$B$37</f>
        <v/>
      </c>
      <c r="F63" s="23">
        <f>Inputs!$B$37</f>
        <v/>
      </c>
      <c r="G63" s="23">
        <f>Inputs!$B$37</f>
        <v/>
      </c>
      <c r="H63" s="23">
        <f>Inputs!$B$37</f>
        <v/>
      </c>
      <c r="I63" s="23">
        <f>Inputs!$B$37</f>
        <v/>
      </c>
      <c r="J63" s="23">
        <f>Inputs!$B$37</f>
        <v/>
      </c>
      <c r="K63" s="23">
        <f>Inputs!$B$37</f>
        <v/>
      </c>
      <c r="L63" s="23">
        <f>Inputs!$B$37</f>
        <v/>
      </c>
      <c r="M63" s="23">
        <f>Inputs!$B$37</f>
        <v/>
      </c>
      <c r="N63" s="23">
        <f>Inputs!$B$37</f>
        <v/>
      </c>
      <c r="O63" s="23">
        <f>Inputs!$B$37</f>
        <v/>
      </c>
      <c r="P63" s="23">
        <f>Inputs!$B$37</f>
        <v/>
      </c>
      <c r="Q63" s="23">
        <f>Inputs!$B$37</f>
        <v/>
      </c>
      <c r="R63" s="23">
        <f>Inputs!$B$37</f>
        <v/>
      </c>
      <c r="S63" s="23">
        <f>Inputs!$B$37</f>
        <v/>
      </c>
      <c r="T63" s="23">
        <f>Inputs!$B$37</f>
        <v/>
      </c>
      <c r="U63" s="23">
        <f>Inputs!$B$37</f>
        <v/>
      </c>
      <c r="V63" s="23">
        <f>Inputs!$B$37</f>
        <v/>
      </c>
      <c r="W63" s="23">
        <f>Inputs!$B$37</f>
        <v/>
      </c>
      <c r="X63" s="23">
        <f>Inputs!$B$37</f>
        <v/>
      </c>
      <c r="Y63" s="23">
        <f>Inputs!$B$37</f>
        <v/>
      </c>
      <c r="Z63" s="23">
        <f>Inputs!$B$37</f>
        <v/>
      </c>
      <c r="AA63" s="23">
        <f>Inputs!$B$37</f>
        <v/>
      </c>
      <c r="AB63" s="23">
        <f>Inputs!$B$37</f>
        <v/>
      </c>
      <c r="AC63" s="23">
        <f>Inputs!$B$37</f>
        <v/>
      </c>
      <c r="AD63" s="23">
        <f>Inputs!$B$37</f>
        <v/>
      </c>
      <c r="AE63" s="23">
        <f>Inputs!$B$37</f>
        <v/>
      </c>
      <c r="AF63" s="23">
        <f>Inputs!$B$37</f>
        <v/>
      </c>
      <c r="AG63" s="23">
        <f>Inputs!$B$37</f>
        <v/>
      </c>
      <c r="AH63" s="23">
        <f>Inputs!$B$37</f>
        <v/>
      </c>
      <c r="AI63" s="23">
        <f>Inputs!$B$37</f>
        <v/>
      </c>
      <c r="AJ63" s="23">
        <f>Inputs!$B$37</f>
        <v/>
      </c>
      <c r="AK63" s="23">
        <f>Inputs!$B$37</f>
        <v/>
      </c>
      <c r="AL63" s="23">
        <f>Inputs!$B$37</f>
        <v/>
      </c>
      <c r="AM63" s="23">
        <f>Inputs!$B$37</f>
        <v/>
      </c>
    </row>
    <row r="64">
      <c r="A64" s="21" t="inlineStr">
        <is>
          <t>Sales and marketing</t>
        </is>
      </c>
      <c r="B64" t="inlineStr">
        <is>
          <t>$</t>
        </is>
      </c>
      <c r="C64" s="2" t="inlineStr">
        <is>
          <t>From Inputs</t>
        </is>
      </c>
      <c r="D64" s="23">
        <f>Inputs!$B$38</f>
        <v/>
      </c>
      <c r="E64" s="23">
        <f>Inputs!$B$38</f>
        <v/>
      </c>
      <c r="F64" s="23">
        <f>Inputs!$B$38</f>
        <v/>
      </c>
      <c r="G64" s="23">
        <f>Inputs!$B$38</f>
        <v/>
      </c>
      <c r="H64" s="23">
        <f>Inputs!$B$38</f>
        <v/>
      </c>
      <c r="I64" s="23">
        <f>Inputs!$B$38</f>
        <v/>
      </c>
      <c r="J64" s="23">
        <f>Inputs!$B$38</f>
        <v/>
      </c>
      <c r="K64" s="23">
        <f>Inputs!$B$38</f>
        <v/>
      </c>
      <c r="L64" s="23">
        <f>Inputs!$B$38</f>
        <v/>
      </c>
      <c r="M64" s="23">
        <f>Inputs!$B$38</f>
        <v/>
      </c>
      <c r="N64" s="23">
        <f>Inputs!$B$38</f>
        <v/>
      </c>
      <c r="O64" s="23">
        <f>Inputs!$B$38</f>
        <v/>
      </c>
      <c r="P64" s="23">
        <f>Inputs!$B$38</f>
        <v/>
      </c>
      <c r="Q64" s="23">
        <f>Inputs!$B$38</f>
        <v/>
      </c>
      <c r="R64" s="23">
        <f>Inputs!$B$38</f>
        <v/>
      </c>
      <c r="S64" s="23">
        <f>Inputs!$B$38</f>
        <v/>
      </c>
      <c r="T64" s="23">
        <f>Inputs!$B$38</f>
        <v/>
      </c>
      <c r="U64" s="23">
        <f>Inputs!$B$38</f>
        <v/>
      </c>
      <c r="V64" s="23">
        <f>Inputs!$B$38</f>
        <v/>
      </c>
      <c r="W64" s="23">
        <f>Inputs!$B$38</f>
        <v/>
      </c>
      <c r="X64" s="23">
        <f>Inputs!$B$38</f>
        <v/>
      </c>
      <c r="Y64" s="23">
        <f>Inputs!$B$38</f>
        <v/>
      </c>
      <c r="Z64" s="23">
        <f>Inputs!$B$38</f>
        <v/>
      </c>
      <c r="AA64" s="23">
        <f>Inputs!$B$38</f>
        <v/>
      </c>
      <c r="AB64" s="23">
        <f>Inputs!$B$38</f>
        <v/>
      </c>
      <c r="AC64" s="23">
        <f>Inputs!$B$38</f>
        <v/>
      </c>
      <c r="AD64" s="23">
        <f>Inputs!$B$38</f>
        <v/>
      </c>
      <c r="AE64" s="23">
        <f>Inputs!$B$38</f>
        <v/>
      </c>
      <c r="AF64" s="23">
        <f>Inputs!$B$38</f>
        <v/>
      </c>
      <c r="AG64" s="23">
        <f>Inputs!$B$38</f>
        <v/>
      </c>
      <c r="AH64" s="23">
        <f>Inputs!$B$38</f>
        <v/>
      </c>
      <c r="AI64" s="23">
        <f>Inputs!$B$38</f>
        <v/>
      </c>
      <c r="AJ64" s="23">
        <f>Inputs!$B$38</f>
        <v/>
      </c>
      <c r="AK64" s="23">
        <f>Inputs!$B$38</f>
        <v/>
      </c>
      <c r="AL64" s="23">
        <f>Inputs!$B$38</f>
        <v/>
      </c>
      <c r="AM64" s="23">
        <f>Inputs!$B$38</f>
        <v/>
      </c>
    </row>
    <row r="65">
      <c r="A65" s="21" t="inlineStr">
        <is>
          <t>Rent, lab and admin</t>
        </is>
      </c>
      <c r="B65" t="inlineStr">
        <is>
          <t>$</t>
        </is>
      </c>
      <c r="C65" s="2" t="inlineStr">
        <is>
          <t>From Inputs</t>
        </is>
      </c>
      <c r="D65" s="23">
        <f>Inputs!$B$39</f>
        <v/>
      </c>
      <c r="E65" s="23">
        <f>Inputs!$B$39</f>
        <v/>
      </c>
      <c r="F65" s="23">
        <f>Inputs!$B$39</f>
        <v/>
      </c>
      <c r="G65" s="23">
        <f>Inputs!$B$39</f>
        <v/>
      </c>
      <c r="H65" s="23">
        <f>Inputs!$B$39</f>
        <v/>
      </c>
      <c r="I65" s="23">
        <f>Inputs!$B$39</f>
        <v/>
      </c>
      <c r="J65" s="23">
        <f>Inputs!$B$39</f>
        <v/>
      </c>
      <c r="K65" s="23">
        <f>Inputs!$B$39</f>
        <v/>
      </c>
      <c r="L65" s="23">
        <f>Inputs!$B$39</f>
        <v/>
      </c>
      <c r="M65" s="23">
        <f>Inputs!$B$39</f>
        <v/>
      </c>
      <c r="N65" s="23">
        <f>Inputs!$B$39</f>
        <v/>
      </c>
      <c r="O65" s="23">
        <f>Inputs!$B$39</f>
        <v/>
      </c>
      <c r="P65" s="23">
        <f>Inputs!$B$39</f>
        <v/>
      </c>
      <c r="Q65" s="23">
        <f>Inputs!$B$39</f>
        <v/>
      </c>
      <c r="R65" s="23">
        <f>Inputs!$B$39</f>
        <v/>
      </c>
      <c r="S65" s="23">
        <f>Inputs!$B$39</f>
        <v/>
      </c>
      <c r="T65" s="23">
        <f>Inputs!$B$39</f>
        <v/>
      </c>
      <c r="U65" s="23">
        <f>Inputs!$B$39</f>
        <v/>
      </c>
      <c r="V65" s="23">
        <f>Inputs!$B$39</f>
        <v/>
      </c>
      <c r="W65" s="23">
        <f>Inputs!$B$39</f>
        <v/>
      </c>
      <c r="X65" s="23">
        <f>Inputs!$B$39</f>
        <v/>
      </c>
      <c r="Y65" s="23">
        <f>Inputs!$B$39</f>
        <v/>
      </c>
      <c r="Z65" s="23">
        <f>Inputs!$B$39</f>
        <v/>
      </c>
      <c r="AA65" s="23">
        <f>Inputs!$B$39</f>
        <v/>
      </c>
      <c r="AB65" s="23">
        <f>Inputs!$B$39</f>
        <v/>
      </c>
      <c r="AC65" s="23">
        <f>Inputs!$B$39</f>
        <v/>
      </c>
      <c r="AD65" s="23">
        <f>Inputs!$B$39</f>
        <v/>
      </c>
      <c r="AE65" s="23">
        <f>Inputs!$B$39</f>
        <v/>
      </c>
      <c r="AF65" s="23">
        <f>Inputs!$B$39</f>
        <v/>
      </c>
      <c r="AG65" s="23">
        <f>Inputs!$B$39</f>
        <v/>
      </c>
      <c r="AH65" s="23">
        <f>Inputs!$B$39</f>
        <v/>
      </c>
      <c r="AI65" s="23">
        <f>Inputs!$B$39</f>
        <v/>
      </c>
      <c r="AJ65" s="23">
        <f>Inputs!$B$39</f>
        <v/>
      </c>
      <c r="AK65" s="23">
        <f>Inputs!$B$39</f>
        <v/>
      </c>
      <c r="AL65" s="23">
        <f>Inputs!$B$39</f>
        <v/>
      </c>
      <c r="AM65" s="23">
        <f>Inputs!$B$39</f>
        <v/>
      </c>
    </row>
    <row r="66">
      <c r="A66" s="21" t="inlineStr">
        <is>
          <t>Other costs per employee</t>
        </is>
      </c>
      <c r="B66" t="inlineStr">
        <is>
          <t>$</t>
        </is>
      </c>
      <c r="C66" s="2" t="inlineStr">
        <is>
          <t>Headcount x other costs per employee</t>
        </is>
      </c>
      <c r="D66" s="23">
        <f>D61*Inputs!$B$36</f>
        <v/>
      </c>
      <c r="E66" s="23">
        <f>E61*Inputs!$B$36</f>
        <v/>
      </c>
      <c r="F66" s="23">
        <f>F61*Inputs!$B$36</f>
        <v/>
      </c>
      <c r="G66" s="23">
        <f>G61*Inputs!$B$36</f>
        <v/>
      </c>
      <c r="H66" s="23">
        <f>H61*Inputs!$B$36</f>
        <v/>
      </c>
      <c r="I66" s="23">
        <f>I61*Inputs!$B$36</f>
        <v/>
      </c>
      <c r="J66" s="23">
        <f>J61*Inputs!$B$36</f>
        <v/>
      </c>
      <c r="K66" s="23">
        <f>K61*Inputs!$B$36</f>
        <v/>
      </c>
      <c r="L66" s="23">
        <f>L61*Inputs!$B$36</f>
        <v/>
      </c>
      <c r="M66" s="23">
        <f>M61*Inputs!$B$36</f>
        <v/>
      </c>
      <c r="N66" s="23">
        <f>N61*Inputs!$B$36</f>
        <v/>
      </c>
      <c r="O66" s="23">
        <f>O61*Inputs!$B$36</f>
        <v/>
      </c>
      <c r="P66" s="23">
        <f>P61*Inputs!$B$36</f>
        <v/>
      </c>
      <c r="Q66" s="23">
        <f>Q61*Inputs!$B$36</f>
        <v/>
      </c>
      <c r="R66" s="23">
        <f>R61*Inputs!$B$36</f>
        <v/>
      </c>
      <c r="S66" s="23">
        <f>S61*Inputs!$B$36</f>
        <v/>
      </c>
      <c r="T66" s="23">
        <f>T61*Inputs!$B$36</f>
        <v/>
      </c>
      <c r="U66" s="23">
        <f>U61*Inputs!$B$36</f>
        <v/>
      </c>
      <c r="V66" s="23">
        <f>V61*Inputs!$B$36</f>
        <v/>
      </c>
      <c r="W66" s="23">
        <f>W61*Inputs!$B$36</f>
        <v/>
      </c>
      <c r="X66" s="23">
        <f>X61*Inputs!$B$36</f>
        <v/>
      </c>
      <c r="Y66" s="23">
        <f>Y61*Inputs!$B$36</f>
        <v/>
      </c>
      <c r="Z66" s="23">
        <f>Z61*Inputs!$B$36</f>
        <v/>
      </c>
      <c r="AA66" s="23">
        <f>AA61*Inputs!$B$36</f>
        <v/>
      </c>
      <c r="AB66" s="23">
        <f>AB61*Inputs!$B$36</f>
        <v/>
      </c>
      <c r="AC66" s="23">
        <f>AC61*Inputs!$B$36</f>
        <v/>
      </c>
      <c r="AD66" s="23">
        <f>AD61*Inputs!$B$36</f>
        <v/>
      </c>
      <c r="AE66" s="23">
        <f>AE61*Inputs!$B$36</f>
        <v/>
      </c>
      <c r="AF66" s="23">
        <f>AF61*Inputs!$B$36</f>
        <v/>
      </c>
      <c r="AG66" s="23">
        <f>AG61*Inputs!$B$36</f>
        <v/>
      </c>
      <c r="AH66" s="23">
        <f>AH61*Inputs!$B$36</f>
        <v/>
      </c>
      <c r="AI66" s="23">
        <f>AI61*Inputs!$B$36</f>
        <v/>
      </c>
      <c r="AJ66" s="23">
        <f>AJ61*Inputs!$B$36</f>
        <v/>
      </c>
      <c r="AK66" s="23">
        <f>AK61*Inputs!$B$36</f>
        <v/>
      </c>
      <c r="AL66" s="23">
        <f>AL61*Inputs!$B$36</f>
        <v/>
      </c>
      <c r="AM66" s="23">
        <f>AM61*Inputs!$B$36</f>
        <v/>
      </c>
    </row>
    <row r="67">
      <c r="A67" s="16" t="inlineStr">
        <is>
          <t>Total operating costs</t>
        </is>
      </c>
      <c r="B67" t="inlineStr">
        <is>
          <t>$</t>
        </is>
      </c>
      <c r="C67" s="2" t="inlineStr">
        <is>
          <t>Payroll + the four lines above</t>
        </is>
      </c>
      <c r="D67" s="31">
        <f>D62+D63+D64+D65+D66</f>
        <v/>
      </c>
      <c r="E67" s="31">
        <f>E62+E63+E64+E65+E66</f>
        <v/>
      </c>
      <c r="F67" s="31">
        <f>F62+F63+F64+F65+F66</f>
        <v/>
      </c>
      <c r="G67" s="31">
        <f>G62+G63+G64+G65+G66</f>
        <v/>
      </c>
      <c r="H67" s="31">
        <f>H62+H63+H64+H65+H66</f>
        <v/>
      </c>
      <c r="I67" s="31">
        <f>I62+I63+I64+I65+I66</f>
        <v/>
      </c>
      <c r="J67" s="31">
        <f>J62+J63+J64+J65+J66</f>
        <v/>
      </c>
      <c r="K67" s="31">
        <f>K62+K63+K64+K65+K66</f>
        <v/>
      </c>
      <c r="L67" s="31">
        <f>L62+L63+L64+L65+L66</f>
        <v/>
      </c>
      <c r="M67" s="31">
        <f>M62+M63+M64+M65+M66</f>
        <v/>
      </c>
      <c r="N67" s="31">
        <f>N62+N63+N64+N65+N66</f>
        <v/>
      </c>
      <c r="O67" s="31">
        <f>O62+O63+O64+O65+O66</f>
        <v/>
      </c>
      <c r="P67" s="31">
        <f>P62+P63+P64+P65+P66</f>
        <v/>
      </c>
      <c r="Q67" s="31">
        <f>Q62+Q63+Q64+Q65+Q66</f>
        <v/>
      </c>
      <c r="R67" s="31">
        <f>R62+R63+R64+R65+R66</f>
        <v/>
      </c>
      <c r="S67" s="31">
        <f>S62+S63+S64+S65+S66</f>
        <v/>
      </c>
      <c r="T67" s="31">
        <f>T62+T63+T64+T65+T66</f>
        <v/>
      </c>
      <c r="U67" s="31">
        <f>U62+U63+U64+U65+U66</f>
        <v/>
      </c>
      <c r="V67" s="31">
        <f>V62+V63+V64+V65+V66</f>
        <v/>
      </c>
      <c r="W67" s="31">
        <f>W62+W63+W64+W65+W66</f>
        <v/>
      </c>
      <c r="X67" s="31">
        <f>X62+X63+X64+X65+X66</f>
        <v/>
      </c>
      <c r="Y67" s="31">
        <f>Y62+Y63+Y64+Y65+Y66</f>
        <v/>
      </c>
      <c r="Z67" s="31">
        <f>Z62+Z63+Z64+Z65+Z66</f>
        <v/>
      </c>
      <c r="AA67" s="31">
        <f>AA62+AA63+AA64+AA65+AA66</f>
        <v/>
      </c>
      <c r="AB67" s="31">
        <f>AB62+AB63+AB64+AB65+AB66</f>
        <v/>
      </c>
      <c r="AC67" s="31">
        <f>AC62+AC63+AC64+AC65+AC66</f>
        <v/>
      </c>
      <c r="AD67" s="31">
        <f>AD62+AD63+AD64+AD65+AD66</f>
        <v/>
      </c>
      <c r="AE67" s="31">
        <f>AE62+AE63+AE64+AE65+AE66</f>
        <v/>
      </c>
      <c r="AF67" s="31">
        <f>AF62+AF63+AF64+AF65+AF66</f>
        <v/>
      </c>
      <c r="AG67" s="31">
        <f>AG62+AG63+AG64+AG65+AG66</f>
        <v/>
      </c>
      <c r="AH67" s="31">
        <f>AH62+AH63+AH64+AH65+AH66</f>
        <v/>
      </c>
      <c r="AI67" s="31">
        <f>AI62+AI63+AI64+AI65+AI66</f>
        <v/>
      </c>
      <c r="AJ67" s="31">
        <f>AJ62+AJ63+AJ64+AJ65+AJ66</f>
        <v/>
      </c>
      <c r="AK67" s="31">
        <f>AK62+AK63+AK64+AK65+AK66</f>
        <v/>
      </c>
      <c r="AL67" s="31">
        <f>AL62+AL63+AL64+AL65+AL66</f>
        <v/>
      </c>
      <c r="AM67" s="31">
        <f>AM62+AM63+AM64+AM65+AM66</f>
        <v/>
      </c>
    </row>
    <row r="68">
      <c r="A68" s="16" t="inlineStr">
        <is>
          <t>EBITDA</t>
        </is>
      </c>
      <c r="B68" t="inlineStr">
        <is>
          <t>$</t>
        </is>
      </c>
      <c r="C68" s="2" t="inlineStr">
        <is>
          <t>Gross profit + fleet depreciation - operating costs</t>
        </is>
      </c>
      <c r="D68" s="31">
        <f>D58+D56-D67</f>
        <v/>
      </c>
      <c r="E68" s="31">
        <f>E58+E56-E67</f>
        <v/>
      </c>
      <c r="F68" s="31">
        <f>F58+F56-F67</f>
        <v/>
      </c>
      <c r="G68" s="31">
        <f>G58+G56-G67</f>
        <v/>
      </c>
      <c r="H68" s="31">
        <f>H58+H56-H67</f>
        <v/>
      </c>
      <c r="I68" s="31">
        <f>I58+I56-I67</f>
        <v/>
      </c>
      <c r="J68" s="31">
        <f>J58+J56-J67</f>
        <v/>
      </c>
      <c r="K68" s="31">
        <f>K58+K56-K67</f>
        <v/>
      </c>
      <c r="L68" s="31">
        <f>L58+L56-L67</f>
        <v/>
      </c>
      <c r="M68" s="31">
        <f>M58+M56-M67</f>
        <v/>
      </c>
      <c r="N68" s="31">
        <f>N58+N56-N67</f>
        <v/>
      </c>
      <c r="O68" s="31">
        <f>O58+O56-O67</f>
        <v/>
      </c>
      <c r="P68" s="31">
        <f>P58+P56-P67</f>
        <v/>
      </c>
      <c r="Q68" s="31">
        <f>Q58+Q56-Q67</f>
        <v/>
      </c>
      <c r="R68" s="31">
        <f>R58+R56-R67</f>
        <v/>
      </c>
      <c r="S68" s="31">
        <f>S58+S56-S67</f>
        <v/>
      </c>
      <c r="T68" s="31">
        <f>T58+T56-T67</f>
        <v/>
      </c>
      <c r="U68" s="31">
        <f>U58+U56-U67</f>
        <v/>
      </c>
      <c r="V68" s="31">
        <f>V58+V56-V67</f>
        <v/>
      </c>
      <c r="W68" s="31">
        <f>W58+W56-W67</f>
        <v/>
      </c>
      <c r="X68" s="31">
        <f>X58+X56-X67</f>
        <v/>
      </c>
      <c r="Y68" s="31">
        <f>Y58+Y56-Y67</f>
        <v/>
      </c>
      <c r="Z68" s="31">
        <f>Z58+Z56-Z67</f>
        <v/>
      </c>
      <c r="AA68" s="31">
        <f>AA58+AA56-AA67</f>
        <v/>
      </c>
      <c r="AB68" s="31">
        <f>AB58+AB56-AB67</f>
        <v/>
      </c>
      <c r="AC68" s="31">
        <f>AC58+AC56-AC67</f>
        <v/>
      </c>
      <c r="AD68" s="31">
        <f>AD58+AD56-AD67</f>
        <v/>
      </c>
      <c r="AE68" s="31">
        <f>AE58+AE56-AE67</f>
        <v/>
      </c>
      <c r="AF68" s="31">
        <f>AF58+AF56-AF67</f>
        <v/>
      </c>
      <c r="AG68" s="31">
        <f>AG58+AG56-AG67</f>
        <v/>
      </c>
      <c r="AH68" s="31">
        <f>AH58+AH56-AH67</f>
        <v/>
      </c>
      <c r="AI68" s="31">
        <f>AI58+AI56-AI67</f>
        <v/>
      </c>
      <c r="AJ68" s="31">
        <f>AJ58+AJ56-AJ67</f>
        <v/>
      </c>
      <c r="AK68" s="31">
        <f>AK58+AK56-AK67</f>
        <v/>
      </c>
      <c r="AL68" s="31">
        <f>AL58+AL56-AL67</f>
        <v/>
      </c>
      <c r="AM68" s="31">
        <f>AM58+AM56-AM67</f>
        <v/>
      </c>
    </row>
    <row r="69">
      <c r="A69" s="21" t="inlineStr">
        <is>
          <t>Equipment depreciation</t>
        </is>
      </c>
      <c r="B69" t="inlineStr">
        <is>
          <t>$</t>
        </is>
      </c>
      <c r="C69" s="2" t="inlineStr">
        <is>
          <t>Equipment / useful life</t>
        </is>
      </c>
      <c r="D69" s="23">
        <f>SUMPRODUCT(($D$30:$AM$30&lt;=D$30)*($D$30:$AM$30&gt;D$30-Inputs!$B$45)*$D$82:$AM$82)/Inputs!$B$45</f>
        <v/>
      </c>
      <c r="E69" s="23">
        <f>SUMPRODUCT(($D$30:$AM$30&lt;=E$30)*($D$30:$AM$30&gt;E$30-Inputs!$B$45)*$D$82:$AM$82)/Inputs!$B$45</f>
        <v/>
      </c>
      <c r="F69" s="23">
        <f>SUMPRODUCT(($D$30:$AM$30&lt;=F$30)*($D$30:$AM$30&gt;F$30-Inputs!$B$45)*$D$82:$AM$82)/Inputs!$B$45</f>
        <v/>
      </c>
      <c r="G69" s="23">
        <f>SUMPRODUCT(($D$30:$AM$30&lt;=G$30)*($D$30:$AM$30&gt;G$30-Inputs!$B$45)*$D$82:$AM$82)/Inputs!$B$45</f>
        <v/>
      </c>
      <c r="H69" s="23">
        <f>SUMPRODUCT(($D$30:$AM$30&lt;=H$30)*($D$30:$AM$30&gt;H$30-Inputs!$B$45)*$D$82:$AM$82)/Inputs!$B$45</f>
        <v/>
      </c>
      <c r="I69" s="23">
        <f>SUMPRODUCT(($D$30:$AM$30&lt;=I$30)*($D$30:$AM$30&gt;I$30-Inputs!$B$45)*$D$82:$AM$82)/Inputs!$B$45</f>
        <v/>
      </c>
      <c r="J69" s="23">
        <f>SUMPRODUCT(($D$30:$AM$30&lt;=J$30)*($D$30:$AM$30&gt;J$30-Inputs!$B$45)*$D$82:$AM$82)/Inputs!$B$45</f>
        <v/>
      </c>
      <c r="K69" s="23">
        <f>SUMPRODUCT(($D$30:$AM$30&lt;=K$30)*($D$30:$AM$30&gt;K$30-Inputs!$B$45)*$D$82:$AM$82)/Inputs!$B$45</f>
        <v/>
      </c>
      <c r="L69" s="23">
        <f>SUMPRODUCT(($D$30:$AM$30&lt;=L$30)*($D$30:$AM$30&gt;L$30-Inputs!$B$45)*$D$82:$AM$82)/Inputs!$B$45</f>
        <v/>
      </c>
      <c r="M69" s="23">
        <f>SUMPRODUCT(($D$30:$AM$30&lt;=M$30)*($D$30:$AM$30&gt;M$30-Inputs!$B$45)*$D$82:$AM$82)/Inputs!$B$45</f>
        <v/>
      </c>
      <c r="N69" s="23">
        <f>SUMPRODUCT(($D$30:$AM$30&lt;=N$30)*($D$30:$AM$30&gt;N$30-Inputs!$B$45)*$D$82:$AM$82)/Inputs!$B$45</f>
        <v/>
      </c>
      <c r="O69" s="23">
        <f>SUMPRODUCT(($D$30:$AM$30&lt;=O$30)*($D$30:$AM$30&gt;O$30-Inputs!$B$45)*$D$82:$AM$82)/Inputs!$B$45</f>
        <v/>
      </c>
      <c r="P69" s="23">
        <f>SUMPRODUCT(($D$30:$AM$30&lt;=P$30)*($D$30:$AM$30&gt;P$30-Inputs!$B$45)*$D$82:$AM$82)/Inputs!$B$45</f>
        <v/>
      </c>
      <c r="Q69" s="23">
        <f>SUMPRODUCT(($D$30:$AM$30&lt;=Q$30)*($D$30:$AM$30&gt;Q$30-Inputs!$B$45)*$D$82:$AM$82)/Inputs!$B$45</f>
        <v/>
      </c>
      <c r="R69" s="23">
        <f>SUMPRODUCT(($D$30:$AM$30&lt;=R$30)*($D$30:$AM$30&gt;R$30-Inputs!$B$45)*$D$82:$AM$82)/Inputs!$B$45</f>
        <v/>
      </c>
      <c r="S69" s="23">
        <f>SUMPRODUCT(($D$30:$AM$30&lt;=S$30)*($D$30:$AM$30&gt;S$30-Inputs!$B$45)*$D$82:$AM$82)/Inputs!$B$45</f>
        <v/>
      </c>
      <c r="T69" s="23">
        <f>SUMPRODUCT(($D$30:$AM$30&lt;=T$30)*($D$30:$AM$30&gt;T$30-Inputs!$B$45)*$D$82:$AM$82)/Inputs!$B$45</f>
        <v/>
      </c>
      <c r="U69" s="23">
        <f>SUMPRODUCT(($D$30:$AM$30&lt;=U$30)*($D$30:$AM$30&gt;U$30-Inputs!$B$45)*$D$82:$AM$82)/Inputs!$B$45</f>
        <v/>
      </c>
      <c r="V69" s="23">
        <f>SUMPRODUCT(($D$30:$AM$30&lt;=V$30)*($D$30:$AM$30&gt;V$30-Inputs!$B$45)*$D$82:$AM$82)/Inputs!$B$45</f>
        <v/>
      </c>
      <c r="W69" s="23">
        <f>SUMPRODUCT(($D$30:$AM$30&lt;=W$30)*($D$30:$AM$30&gt;W$30-Inputs!$B$45)*$D$82:$AM$82)/Inputs!$B$45</f>
        <v/>
      </c>
      <c r="X69" s="23">
        <f>SUMPRODUCT(($D$30:$AM$30&lt;=X$30)*($D$30:$AM$30&gt;X$30-Inputs!$B$45)*$D$82:$AM$82)/Inputs!$B$45</f>
        <v/>
      </c>
      <c r="Y69" s="23">
        <f>SUMPRODUCT(($D$30:$AM$30&lt;=Y$30)*($D$30:$AM$30&gt;Y$30-Inputs!$B$45)*$D$82:$AM$82)/Inputs!$B$45</f>
        <v/>
      </c>
      <c r="Z69" s="23">
        <f>SUMPRODUCT(($D$30:$AM$30&lt;=Z$30)*($D$30:$AM$30&gt;Z$30-Inputs!$B$45)*$D$82:$AM$82)/Inputs!$B$45</f>
        <v/>
      </c>
      <c r="AA69" s="23">
        <f>SUMPRODUCT(($D$30:$AM$30&lt;=AA$30)*($D$30:$AM$30&gt;AA$30-Inputs!$B$45)*$D$82:$AM$82)/Inputs!$B$45</f>
        <v/>
      </c>
      <c r="AB69" s="23">
        <f>SUMPRODUCT(($D$30:$AM$30&lt;=AB$30)*($D$30:$AM$30&gt;AB$30-Inputs!$B$45)*$D$82:$AM$82)/Inputs!$B$45</f>
        <v/>
      </c>
      <c r="AC69" s="23">
        <f>SUMPRODUCT(($D$30:$AM$30&lt;=AC$30)*($D$30:$AM$30&gt;AC$30-Inputs!$B$45)*$D$82:$AM$82)/Inputs!$B$45</f>
        <v/>
      </c>
      <c r="AD69" s="23">
        <f>SUMPRODUCT(($D$30:$AM$30&lt;=AD$30)*($D$30:$AM$30&gt;AD$30-Inputs!$B$45)*$D$82:$AM$82)/Inputs!$B$45</f>
        <v/>
      </c>
      <c r="AE69" s="23">
        <f>SUMPRODUCT(($D$30:$AM$30&lt;=AE$30)*($D$30:$AM$30&gt;AE$30-Inputs!$B$45)*$D$82:$AM$82)/Inputs!$B$45</f>
        <v/>
      </c>
      <c r="AF69" s="23">
        <f>SUMPRODUCT(($D$30:$AM$30&lt;=AF$30)*($D$30:$AM$30&gt;AF$30-Inputs!$B$45)*$D$82:$AM$82)/Inputs!$B$45</f>
        <v/>
      </c>
      <c r="AG69" s="23">
        <f>SUMPRODUCT(($D$30:$AM$30&lt;=AG$30)*($D$30:$AM$30&gt;AG$30-Inputs!$B$45)*$D$82:$AM$82)/Inputs!$B$45</f>
        <v/>
      </c>
      <c r="AH69" s="23">
        <f>SUMPRODUCT(($D$30:$AM$30&lt;=AH$30)*($D$30:$AM$30&gt;AH$30-Inputs!$B$45)*$D$82:$AM$82)/Inputs!$B$45</f>
        <v/>
      </c>
      <c r="AI69" s="23">
        <f>SUMPRODUCT(($D$30:$AM$30&lt;=AI$30)*($D$30:$AM$30&gt;AI$30-Inputs!$B$45)*$D$82:$AM$82)/Inputs!$B$45</f>
        <v/>
      </c>
      <c r="AJ69" s="23">
        <f>SUMPRODUCT(($D$30:$AM$30&lt;=AJ$30)*($D$30:$AM$30&gt;AJ$30-Inputs!$B$45)*$D$82:$AM$82)/Inputs!$B$45</f>
        <v/>
      </c>
      <c r="AK69" s="23">
        <f>SUMPRODUCT(($D$30:$AM$30&lt;=AK$30)*($D$30:$AM$30&gt;AK$30-Inputs!$B$45)*$D$82:$AM$82)/Inputs!$B$45</f>
        <v/>
      </c>
      <c r="AL69" s="23">
        <f>SUMPRODUCT(($D$30:$AM$30&lt;=AL$30)*($D$30:$AM$30&gt;AL$30-Inputs!$B$45)*$D$82:$AM$82)/Inputs!$B$45</f>
        <v/>
      </c>
      <c r="AM69" s="23">
        <f>SUMPRODUCT(($D$30:$AM$30&lt;=AM$30)*($D$30:$AM$30&gt;AM$30-Inputs!$B$45)*$D$82:$AM$82)/Inputs!$B$45</f>
        <v/>
      </c>
    </row>
    <row r="70">
      <c r="A70" s="21" t="inlineStr">
        <is>
          <t>Operating profit</t>
        </is>
      </c>
      <c r="B70" t="inlineStr">
        <is>
          <t>$</t>
        </is>
      </c>
      <c r="C70" s="2" t="inlineStr">
        <is>
          <t>Gross profit - operating costs - equipment depreciation</t>
        </is>
      </c>
      <c r="D70" s="23">
        <f>D58-D67-D69</f>
        <v/>
      </c>
      <c r="E70" s="23">
        <f>E58-E67-E69</f>
        <v/>
      </c>
      <c r="F70" s="23">
        <f>F58-F67-F69</f>
        <v/>
      </c>
      <c r="G70" s="23">
        <f>G58-G67-G69</f>
        <v/>
      </c>
      <c r="H70" s="23">
        <f>H58-H67-H69</f>
        <v/>
      </c>
      <c r="I70" s="23">
        <f>I58-I67-I69</f>
        <v/>
      </c>
      <c r="J70" s="23">
        <f>J58-J67-J69</f>
        <v/>
      </c>
      <c r="K70" s="23">
        <f>K58-K67-K69</f>
        <v/>
      </c>
      <c r="L70" s="23">
        <f>L58-L67-L69</f>
        <v/>
      </c>
      <c r="M70" s="23">
        <f>M58-M67-M69</f>
        <v/>
      </c>
      <c r="N70" s="23">
        <f>N58-N67-N69</f>
        <v/>
      </c>
      <c r="O70" s="23">
        <f>O58-O67-O69</f>
        <v/>
      </c>
      <c r="P70" s="23">
        <f>P58-P67-P69</f>
        <v/>
      </c>
      <c r="Q70" s="23">
        <f>Q58-Q67-Q69</f>
        <v/>
      </c>
      <c r="R70" s="23">
        <f>R58-R67-R69</f>
        <v/>
      </c>
      <c r="S70" s="23">
        <f>S58-S67-S69</f>
        <v/>
      </c>
      <c r="T70" s="23">
        <f>T58-T67-T69</f>
        <v/>
      </c>
      <c r="U70" s="23">
        <f>U58-U67-U69</f>
        <v/>
      </c>
      <c r="V70" s="23">
        <f>V58-V67-V69</f>
        <v/>
      </c>
      <c r="W70" s="23">
        <f>W58-W67-W69</f>
        <v/>
      </c>
      <c r="X70" s="23">
        <f>X58-X67-X69</f>
        <v/>
      </c>
      <c r="Y70" s="23">
        <f>Y58-Y67-Y69</f>
        <v/>
      </c>
      <c r="Z70" s="23">
        <f>Z58-Z67-Z69</f>
        <v/>
      </c>
      <c r="AA70" s="23">
        <f>AA58-AA67-AA69</f>
        <v/>
      </c>
      <c r="AB70" s="23">
        <f>AB58-AB67-AB69</f>
        <v/>
      </c>
      <c r="AC70" s="23">
        <f>AC58-AC67-AC69</f>
        <v/>
      </c>
      <c r="AD70" s="23">
        <f>AD58-AD67-AD69</f>
        <v/>
      </c>
      <c r="AE70" s="23">
        <f>AE58-AE67-AE69</f>
        <v/>
      </c>
      <c r="AF70" s="23">
        <f>AF58-AF67-AF69</f>
        <v/>
      </c>
      <c r="AG70" s="23">
        <f>AG58-AG67-AG69</f>
        <v/>
      </c>
      <c r="AH70" s="23">
        <f>AH58-AH67-AH69</f>
        <v/>
      </c>
      <c r="AI70" s="23">
        <f>AI58-AI67-AI69</f>
        <v/>
      </c>
      <c r="AJ70" s="23">
        <f>AJ58-AJ67-AJ69</f>
        <v/>
      </c>
      <c r="AK70" s="23">
        <f>AK58-AK67-AK69</f>
        <v/>
      </c>
      <c r="AL70" s="23">
        <f>AL58-AL67-AL69</f>
        <v/>
      </c>
      <c r="AM70" s="23">
        <f>AM58-AM67-AM69</f>
        <v/>
      </c>
    </row>
    <row r="71">
      <c r="A71" s="21" t="inlineStr">
        <is>
          <t>Interest on the fleet facility</t>
        </is>
      </c>
      <c r="B71" t="inlineStr">
        <is>
          <t>$</t>
        </is>
      </c>
      <c r="C71" s="2" t="inlineStr">
        <is>
          <t>Last month's balance x rate / 12</t>
        </is>
      </c>
      <c r="D71" s="23">
        <f>0</f>
        <v/>
      </c>
      <c r="E71" s="23">
        <f>D87*Inputs!$B$49/12</f>
        <v/>
      </c>
      <c r="F71" s="23">
        <f>E87*Inputs!$B$49/12</f>
        <v/>
      </c>
      <c r="G71" s="23">
        <f>F87*Inputs!$B$49/12</f>
        <v/>
      </c>
      <c r="H71" s="23">
        <f>G87*Inputs!$B$49/12</f>
        <v/>
      </c>
      <c r="I71" s="23">
        <f>H87*Inputs!$B$49/12</f>
        <v/>
      </c>
      <c r="J71" s="23">
        <f>I87*Inputs!$B$49/12</f>
        <v/>
      </c>
      <c r="K71" s="23">
        <f>J87*Inputs!$B$49/12</f>
        <v/>
      </c>
      <c r="L71" s="23">
        <f>K87*Inputs!$B$49/12</f>
        <v/>
      </c>
      <c r="M71" s="23">
        <f>L87*Inputs!$B$49/12</f>
        <v/>
      </c>
      <c r="N71" s="23">
        <f>M87*Inputs!$B$49/12</f>
        <v/>
      </c>
      <c r="O71" s="23">
        <f>N87*Inputs!$B$49/12</f>
        <v/>
      </c>
      <c r="P71" s="23">
        <f>O87*Inputs!$B$49/12</f>
        <v/>
      </c>
      <c r="Q71" s="23">
        <f>P87*Inputs!$B$49/12</f>
        <v/>
      </c>
      <c r="R71" s="23">
        <f>Q87*Inputs!$B$49/12</f>
        <v/>
      </c>
      <c r="S71" s="23">
        <f>R87*Inputs!$B$49/12</f>
        <v/>
      </c>
      <c r="T71" s="23">
        <f>S87*Inputs!$B$49/12</f>
        <v/>
      </c>
      <c r="U71" s="23">
        <f>T87*Inputs!$B$49/12</f>
        <v/>
      </c>
      <c r="V71" s="23">
        <f>U87*Inputs!$B$49/12</f>
        <v/>
      </c>
      <c r="W71" s="23">
        <f>V87*Inputs!$B$49/12</f>
        <v/>
      </c>
      <c r="X71" s="23">
        <f>W87*Inputs!$B$49/12</f>
        <v/>
      </c>
      <c r="Y71" s="23">
        <f>X87*Inputs!$B$49/12</f>
        <v/>
      </c>
      <c r="Z71" s="23">
        <f>Y87*Inputs!$B$49/12</f>
        <v/>
      </c>
      <c r="AA71" s="23">
        <f>Z87*Inputs!$B$49/12</f>
        <v/>
      </c>
      <c r="AB71" s="23">
        <f>AA87*Inputs!$B$49/12</f>
        <v/>
      </c>
      <c r="AC71" s="23">
        <f>AB87*Inputs!$B$49/12</f>
        <v/>
      </c>
      <c r="AD71" s="23">
        <f>AC87*Inputs!$B$49/12</f>
        <v/>
      </c>
      <c r="AE71" s="23">
        <f>AD87*Inputs!$B$49/12</f>
        <v/>
      </c>
      <c r="AF71" s="23">
        <f>AE87*Inputs!$B$49/12</f>
        <v/>
      </c>
      <c r="AG71" s="23">
        <f>AF87*Inputs!$B$49/12</f>
        <v/>
      </c>
      <c r="AH71" s="23">
        <f>AG87*Inputs!$B$49/12</f>
        <v/>
      </c>
      <c r="AI71" s="23">
        <f>AH87*Inputs!$B$49/12</f>
        <v/>
      </c>
      <c r="AJ71" s="23">
        <f>AI87*Inputs!$B$49/12</f>
        <v/>
      </c>
      <c r="AK71" s="23">
        <f>AJ87*Inputs!$B$49/12</f>
        <v/>
      </c>
      <c r="AL71" s="23">
        <f>AK87*Inputs!$B$49/12</f>
        <v/>
      </c>
      <c r="AM71" s="23">
        <f>AL87*Inputs!$B$49/12</f>
        <v/>
      </c>
    </row>
    <row r="72">
      <c r="A72" s="16" t="inlineStr">
        <is>
          <t>Profit before tax</t>
        </is>
      </c>
      <c r="B72" t="inlineStr">
        <is>
          <t>$</t>
        </is>
      </c>
      <c r="C72" s="2" t="inlineStr">
        <is>
          <t>Operating profit - interest</t>
        </is>
      </c>
      <c r="D72" s="31">
        <f>D70-D71</f>
        <v/>
      </c>
      <c r="E72" s="31">
        <f>E70-E71</f>
        <v/>
      </c>
      <c r="F72" s="31">
        <f>F70-F71</f>
        <v/>
      </c>
      <c r="G72" s="31">
        <f>G70-G71</f>
        <v/>
      </c>
      <c r="H72" s="31">
        <f>H70-H71</f>
        <v/>
      </c>
      <c r="I72" s="31">
        <f>I70-I71</f>
        <v/>
      </c>
      <c r="J72" s="31">
        <f>J70-J71</f>
        <v/>
      </c>
      <c r="K72" s="31">
        <f>K70-K71</f>
        <v/>
      </c>
      <c r="L72" s="31">
        <f>L70-L71</f>
        <v/>
      </c>
      <c r="M72" s="31">
        <f>M70-M71</f>
        <v/>
      </c>
      <c r="N72" s="31">
        <f>N70-N71</f>
        <v/>
      </c>
      <c r="O72" s="31">
        <f>O70-O71</f>
        <v/>
      </c>
      <c r="P72" s="31">
        <f>P70-P71</f>
        <v/>
      </c>
      <c r="Q72" s="31">
        <f>Q70-Q71</f>
        <v/>
      </c>
      <c r="R72" s="31">
        <f>R70-R71</f>
        <v/>
      </c>
      <c r="S72" s="31">
        <f>S70-S71</f>
        <v/>
      </c>
      <c r="T72" s="31">
        <f>T70-T71</f>
        <v/>
      </c>
      <c r="U72" s="31">
        <f>U70-U71</f>
        <v/>
      </c>
      <c r="V72" s="31">
        <f>V70-V71</f>
        <v/>
      </c>
      <c r="W72" s="31">
        <f>W70-W71</f>
        <v/>
      </c>
      <c r="X72" s="31">
        <f>X70-X71</f>
        <v/>
      </c>
      <c r="Y72" s="31">
        <f>Y70-Y71</f>
        <v/>
      </c>
      <c r="Z72" s="31">
        <f>Z70-Z71</f>
        <v/>
      </c>
      <c r="AA72" s="31">
        <f>AA70-AA71</f>
        <v/>
      </c>
      <c r="AB72" s="31">
        <f>AB70-AB71</f>
        <v/>
      </c>
      <c r="AC72" s="31">
        <f>AC70-AC71</f>
        <v/>
      </c>
      <c r="AD72" s="31">
        <f>AD70-AD71</f>
        <v/>
      </c>
      <c r="AE72" s="31">
        <f>AE70-AE71</f>
        <v/>
      </c>
      <c r="AF72" s="31">
        <f>AF70-AF71</f>
        <v/>
      </c>
      <c r="AG72" s="31">
        <f>AG70-AG71</f>
        <v/>
      </c>
      <c r="AH72" s="31">
        <f>AH70-AH71</f>
        <v/>
      </c>
      <c r="AI72" s="31">
        <f>AI70-AI71</f>
        <v/>
      </c>
      <c r="AJ72" s="31">
        <f>AJ70-AJ71</f>
        <v/>
      </c>
      <c r="AK72" s="31">
        <f>AK70-AK71</f>
        <v/>
      </c>
      <c r="AL72" s="31">
        <f>AL70-AL71</f>
        <v/>
      </c>
      <c r="AM72" s="31">
        <f>AM70-AM71</f>
        <v/>
      </c>
    </row>
    <row r="73">
      <c r="A73" s="4" t="inlineStr">
        <is>
          <t>Cash flow</t>
        </is>
      </c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  <c r="Y73" s="5" t="n"/>
      <c r="Z73" s="5" t="n"/>
      <c r="AA73" s="5" t="n"/>
      <c r="AB73" s="5" t="n"/>
      <c r="AC73" s="5" t="n"/>
      <c r="AD73" s="5" t="n"/>
      <c r="AE73" s="5" t="n"/>
      <c r="AF73" s="5" t="n"/>
      <c r="AG73" s="5" t="n"/>
      <c r="AH73" s="5" t="n"/>
      <c r="AI73" s="5" t="n"/>
      <c r="AJ73" s="5" t="n"/>
      <c r="AK73" s="5" t="n"/>
      <c r="AL73" s="5" t="n"/>
      <c r="AM73" s="5" t="n"/>
    </row>
    <row r="74">
      <c r="A74" s="21" t="inlineStr">
        <is>
          <t>Customer deposits received</t>
        </is>
      </c>
      <c r="B74" t="inlineStr">
        <is>
          <t>$</t>
        </is>
      </c>
      <c r="C74" s="2" t="inlineStr">
        <is>
          <t>Robots built for sale x price x deposit</t>
        </is>
      </c>
      <c r="D74" s="23">
        <f>(D39-ROUND(D39*Inputs!$B$17,0))*Inputs!$B$18*Inputs!$B$32</f>
        <v/>
      </c>
      <c r="E74" s="23">
        <f>(E39-ROUND(E39*Inputs!$B$17,0))*Inputs!$B$18*Inputs!$B$32</f>
        <v/>
      </c>
      <c r="F74" s="23">
        <f>(F39-ROUND(F39*Inputs!$B$17,0))*Inputs!$B$18*Inputs!$B$32</f>
        <v/>
      </c>
      <c r="G74" s="23">
        <f>(G39-ROUND(G39*Inputs!$B$17,0))*Inputs!$B$18*Inputs!$B$32</f>
        <v/>
      </c>
      <c r="H74" s="23">
        <f>(H39-ROUND(H39*Inputs!$B$17,0))*Inputs!$B$18*Inputs!$B$32</f>
        <v/>
      </c>
      <c r="I74" s="23">
        <f>(I39-ROUND(I39*Inputs!$B$17,0))*Inputs!$B$18*Inputs!$B$32</f>
        <v/>
      </c>
      <c r="J74" s="23">
        <f>(J39-ROUND(J39*Inputs!$B$17,0))*Inputs!$B$18*Inputs!$B$32</f>
        <v/>
      </c>
      <c r="K74" s="23">
        <f>(K39-ROUND(K39*Inputs!$B$17,0))*Inputs!$B$18*Inputs!$B$32</f>
        <v/>
      </c>
      <c r="L74" s="23">
        <f>(L39-ROUND(L39*Inputs!$B$17,0))*Inputs!$B$18*Inputs!$B$32</f>
        <v/>
      </c>
      <c r="M74" s="23">
        <f>(M39-ROUND(M39*Inputs!$B$17,0))*Inputs!$B$18*Inputs!$B$32</f>
        <v/>
      </c>
      <c r="N74" s="23">
        <f>(N39-ROUND(N39*Inputs!$B$17,0))*Inputs!$B$18*Inputs!$B$32</f>
        <v/>
      </c>
      <c r="O74" s="23">
        <f>(O39-ROUND(O39*Inputs!$B$17,0))*Inputs!$B$18*Inputs!$B$32</f>
        <v/>
      </c>
      <c r="P74" s="23">
        <f>(P39-ROUND(P39*Inputs!$B$17,0))*Inputs!$B$18*Inputs!$B$32</f>
        <v/>
      </c>
      <c r="Q74" s="23">
        <f>(Q39-ROUND(Q39*Inputs!$B$17,0))*Inputs!$B$18*Inputs!$B$32</f>
        <v/>
      </c>
      <c r="R74" s="23">
        <f>(R39-ROUND(R39*Inputs!$B$17,0))*Inputs!$B$18*Inputs!$B$32</f>
        <v/>
      </c>
      <c r="S74" s="23">
        <f>(S39-ROUND(S39*Inputs!$B$17,0))*Inputs!$B$18*Inputs!$B$32</f>
        <v/>
      </c>
      <c r="T74" s="23">
        <f>(T39-ROUND(T39*Inputs!$B$17,0))*Inputs!$B$18*Inputs!$B$32</f>
        <v/>
      </c>
      <c r="U74" s="23">
        <f>(U39-ROUND(U39*Inputs!$B$17,0))*Inputs!$B$18*Inputs!$B$32</f>
        <v/>
      </c>
      <c r="V74" s="23">
        <f>(V39-ROUND(V39*Inputs!$B$17,0))*Inputs!$B$18*Inputs!$B$32</f>
        <v/>
      </c>
      <c r="W74" s="23">
        <f>(W39-ROUND(W39*Inputs!$B$17,0))*Inputs!$B$18*Inputs!$B$32</f>
        <v/>
      </c>
      <c r="X74" s="23">
        <f>(X39-ROUND(X39*Inputs!$B$17,0))*Inputs!$B$18*Inputs!$B$32</f>
        <v/>
      </c>
      <c r="Y74" s="23">
        <f>(Y39-ROUND(Y39*Inputs!$B$17,0))*Inputs!$B$18*Inputs!$B$32</f>
        <v/>
      </c>
      <c r="Z74" s="23">
        <f>(Z39-ROUND(Z39*Inputs!$B$17,0))*Inputs!$B$18*Inputs!$B$32</f>
        <v/>
      </c>
      <c r="AA74" s="23">
        <f>(AA39-ROUND(AA39*Inputs!$B$17,0))*Inputs!$B$18*Inputs!$B$32</f>
        <v/>
      </c>
      <c r="AB74" s="23">
        <f>(AB39-ROUND(AB39*Inputs!$B$17,0))*Inputs!$B$18*Inputs!$B$32</f>
        <v/>
      </c>
      <c r="AC74" s="23">
        <f>(AC39-ROUND(AC39*Inputs!$B$17,0))*Inputs!$B$18*Inputs!$B$32</f>
        <v/>
      </c>
      <c r="AD74" s="23">
        <f>(AD39-ROUND(AD39*Inputs!$B$17,0))*Inputs!$B$18*Inputs!$B$32</f>
        <v/>
      </c>
      <c r="AE74" s="23">
        <f>(AE39-ROUND(AE39*Inputs!$B$17,0))*Inputs!$B$18*Inputs!$B$32</f>
        <v/>
      </c>
      <c r="AF74" s="23">
        <f>(AF39-ROUND(AF39*Inputs!$B$17,0))*Inputs!$B$18*Inputs!$B$32</f>
        <v/>
      </c>
      <c r="AG74" s="23">
        <f>(AG39-ROUND(AG39*Inputs!$B$17,0))*Inputs!$B$18*Inputs!$B$32</f>
        <v/>
      </c>
      <c r="AH74" s="23">
        <f>(AH39-ROUND(AH39*Inputs!$B$17,0))*Inputs!$B$18*Inputs!$B$32</f>
        <v/>
      </c>
      <c r="AI74" s="23">
        <f>(AI39-ROUND(AI39*Inputs!$B$17,0))*Inputs!$B$18*Inputs!$B$32</f>
        <v/>
      </c>
      <c r="AJ74" s="23">
        <f>(AJ39-ROUND(AJ39*Inputs!$B$17,0))*Inputs!$B$18*Inputs!$B$32</f>
        <v/>
      </c>
      <c r="AK74" s="23">
        <f>(AK39-ROUND(AK39*Inputs!$B$17,0))*Inputs!$B$18*Inputs!$B$32</f>
        <v/>
      </c>
      <c r="AL74" s="23">
        <f>(AL39-ROUND(AL39*Inputs!$B$17,0))*Inputs!$B$18*Inputs!$B$32</f>
        <v/>
      </c>
      <c r="AM74" s="23">
        <f>(AM39-ROUND(AM39*Inputs!$B$17,0))*Inputs!$B$18*Inputs!$B$32</f>
        <v/>
      </c>
    </row>
    <row r="75">
      <c r="A75" s="21" t="inlineStr">
        <is>
          <t>Balances paid by customers</t>
        </is>
      </c>
      <c r="B75" t="inlineStr">
        <is>
          <t>$</t>
        </is>
      </c>
      <c r="C75" s="2" t="inlineStr">
        <is>
          <t>Robots sold one payment lag ago x price x (1 - deposit)</t>
        </is>
      </c>
      <c r="D75" s="23">
        <f>IF(D$30-Inputs!$B$33&gt;=1,INDEX($D$36:$AM$36,1,MAX(1,D$30-Inputs!$B$33))*Inputs!$B$18*(1-Inputs!$B$32),0)</f>
        <v/>
      </c>
      <c r="E75" s="23">
        <f>IF(E$30-Inputs!$B$33&gt;=1,INDEX($D$36:$AM$36,1,MAX(1,E$30-Inputs!$B$33))*Inputs!$B$18*(1-Inputs!$B$32),0)</f>
        <v/>
      </c>
      <c r="F75" s="23">
        <f>IF(F$30-Inputs!$B$33&gt;=1,INDEX($D$36:$AM$36,1,MAX(1,F$30-Inputs!$B$33))*Inputs!$B$18*(1-Inputs!$B$32),0)</f>
        <v/>
      </c>
      <c r="G75" s="23">
        <f>IF(G$30-Inputs!$B$33&gt;=1,INDEX($D$36:$AM$36,1,MAX(1,G$30-Inputs!$B$33))*Inputs!$B$18*(1-Inputs!$B$32),0)</f>
        <v/>
      </c>
      <c r="H75" s="23">
        <f>IF(H$30-Inputs!$B$33&gt;=1,INDEX($D$36:$AM$36,1,MAX(1,H$30-Inputs!$B$33))*Inputs!$B$18*(1-Inputs!$B$32),0)</f>
        <v/>
      </c>
      <c r="I75" s="23">
        <f>IF(I$30-Inputs!$B$33&gt;=1,INDEX($D$36:$AM$36,1,MAX(1,I$30-Inputs!$B$33))*Inputs!$B$18*(1-Inputs!$B$32),0)</f>
        <v/>
      </c>
      <c r="J75" s="23">
        <f>IF(J$30-Inputs!$B$33&gt;=1,INDEX($D$36:$AM$36,1,MAX(1,J$30-Inputs!$B$33))*Inputs!$B$18*(1-Inputs!$B$32),0)</f>
        <v/>
      </c>
      <c r="K75" s="23">
        <f>IF(K$30-Inputs!$B$33&gt;=1,INDEX($D$36:$AM$36,1,MAX(1,K$30-Inputs!$B$33))*Inputs!$B$18*(1-Inputs!$B$32),0)</f>
        <v/>
      </c>
      <c r="L75" s="23">
        <f>IF(L$30-Inputs!$B$33&gt;=1,INDEX($D$36:$AM$36,1,MAX(1,L$30-Inputs!$B$33))*Inputs!$B$18*(1-Inputs!$B$32),0)</f>
        <v/>
      </c>
      <c r="M75" s="23">
        <f>IF(M$30-Inputs!$B$33&gt;=1,INDEX($D$36:$AM$36,1,MAX(1,M$30-Inputs!$B$33))*Inputs!$B$18*(1-Inputs!$B$32),0)</f>
        <v/>
      </c>
      <c r="N75" s="23">
        <f>IF(N$30-Inputs!$B$33&gt;=1,INDEX($D$36:$AM$36,1,MAX(1,N$30-Inputs!$B$33))*Inputs!$B$18*(1-Inputs!$B$32),0)</f>
        <v/>
      </c>
      <c r="O75" s="23">
        <f>IF(O$30-Inputs!$B$33&gt;=1,INDEX($D$36:$AM$36,1,MAX(1,O$30-Inputs!$B$33))*Inputs!$B$18*(1-Inputs!$B$32),0)</f>
        <v/>
      </c>
      <c r="P75" s="23">
        <f>IF(P$30-Inputs!$B$33&gt;=1,INDEX($D$36:$AM$36,1,MAX(1,P$30-Inputs!$B$33))*Inputs!$B$18*(1-Inputs!$B$32),0)</f>
        <v/>
      </c>
      <c r="Q75" s="23">
        <f>IF(Q$30-Inputs!$B$33&gt;=1,INDEX($D$36:$AM$36,1,MAX(1,Q$30-Inputs!$B$33))*Inputs!$B$18*(1-Inputs!$B$32),0)</f>
        <v/>
      </c>
      <c r="R75" s="23">
        <f>IF(R$30-Inputs!$B$33&gt;=1,INDEX($D$36:$AM$36,1,MAX(1,R$30-Inputs!$B$33))*Inputs!$B$18*(1-Inputs!$B$32),0)</f>
        <v/>
      </c>
      <c r="S75" s="23">
        <f>IF(S$30-Inputs!$B$33&gt;=1,INDEX($D$36:$AM$36,1,MAX(1,S$30-Inputs!$B$33))*Inputs!$B$18*(1-Inputs!$B$32),0)</f>
        <v/>
      </c>
      <c r="T75" s="23">
        <f>IF(T$30-Inputs!$B$33&gt;=1,INDEX($D$36:$AM$36,1,MAX(1,T$30-Inputs!$B$33))*Inputs!$B$18*(1-Inputs!$B$32),0)</f>
        <v/>
      </c>
      <c r="U75" s="23">
        <f>IF(U$30-Inputs!$B$33&gt;=1,INDEX($D$36:$AM$36,1,MAX(1,U$30-Inputs!$B$33))*Inputs!$B$18*(1-Inputs!$B$32),0)</f>
        <v/>
      </c>
      <c r="V75" s="23">
        <f>IF(V$30-Inputs!$B$33&gt;=1,INDEX($D$36:$AM$36,1,MAX(1,V$30-Inputs!$B$33))*Inputs!$B$18*(1-Inputs!$B$32),0)</f>
        <v/>
      </c>
      <c r="W75" s="23">
        <f>IF(W$30-Inputs!$B$33&gt;=1,INDEX($D$36:$AM$36,1,MAX(1,W$30-Inputs!$B$33))*Inputs!$B$18*(1-Inputs!$B$32),0)</f>
        <v/>
      </c>
      <c r="X75" s="23">
        <f>IF(X$30-Inputs!$B$33&gt;=1,INDEX($D$36:$AM$36,1,MAX(1,X$30-Inputs!$B$33))*Inputs!$B$18*(1-Inputs!$B$32),0)</f>
        <v/>
      </c>
      <c r="Y75" s="23">
        <f>IF(Y$30-Inputs!$B$33&gt;=1,INDEX($D$36:$AM$36,1,MAX(1,Y$30-Inputs!$B$33))*Inputs!$B$18*(1-Inputs!$B$32),0)</f>
        <v/>
      </c>
      <c r="Z75" s="23">
        <f>IF(Z$30-Inputs!$B$33&gt;=1,INDEX($D$36:$AM$36,1,MAX(1,Z$30-Inputs!$B$33))*Inputs!$B$18*(1-Inputs!$B$32),0)</f>
        <v/>
      </c>
      <c r="AA75" s="23">
        <f>IF(AA$30-Inputs!$B$33&gt;=1,INDEX($D$36:$AM$36,1,MAX(1,AA$30-Inputs!$B$33))*Inputs!$B$18*(1-Inputs!$B$32),0)</f>
        <v/>
      </c>
      <c r="AB75" s="23">
        <f>IF(AB$30-Inputs!$B$33&gt;=1,INDEX($D$36:$AM$36,1,MAX(1,AB$30-Inputs!$B$33))*Inputs!$B$18*(1-Inputs!$B$32),0)</f>
        <v/>
      </c>
      <c r="AC75" s="23">
        <f>IF(AC$30-Inputs!$B$33&gt;=1,INDEX($D$36:$AM$36,1,MAX(1,AC$30-Inputs!$B$33))*Inputs!$B$18*(1-Inputs!$B$32),0)</f>
        <v/>
      </c>
      <c r="AD75" s="23">
        <f>IF(AD$30-Inputs!$B$33&gt;=1,INDEX($D$36:$AM$36,1,MAX(1,AD$30-Inputs!$B$33))*Inputs!$B$18*(1-Inputs!$B$32),0)</f>
        <v/>
      </c>
      <c r="AE75" s="23">
        <f>IF(AE$30-Inputs!$B$33&gt;=1,INDEX($D$36:$AM$36,1,MAX(1,AE$30-Inputs!$B$33))*Inputs!$B$18*(1-Inputs!$B$32),0)</f>
        <v/>
      </c>
      <c r="AF75" s="23">
        <f>IF(AF$30-Inputs!$B$33&gt;=1,INDEX($D$36:$AM$36,1,MAX(1,AF$30-Inputs!$B$33))*Inputs!$B$18*(1-Inputs!$B$32),0)</f>
        <v/>
      </c>
      <c r="AG75" s="23">
        <f>IF(AG$30-Inputs!$B$33&gt;=1,INDEX($D$36:$AM$36,1,MAX(1,AG$30-Inputs!$B$33))*Inputs!$B$18*(1-Inputs!$B$32),0)</f>
        <v/>
      </c>
      <c r="AH75" s="23">
        <f>IF(AH$30-Inputs!$B$33&gt;=1,INDEX($D$36:$AM$36,1,MAX(1,AH$30-Inputs!$B$33))*Inputs!$B$18*(1-Inputs!$B$32),0)</f>
        <v/>
      </c>
      <c r="AI75" s="23">
        <f>IF(AI$30-Inputs!$B$33&gt;=1,INDEX($D$36:$AM$36,1,MAX(1,AI$30-Inputs!$B$33))*Inputs!$B$18*(1-Inputs!$B$32),0)</f>
        <v/>
      </c>
      <c r="AJ75" s="23">
        <f>IF(AJ$30-Inputs!$B$33&gt;=1,INDEX($D$36:$AM$36,1,MAX(1,AJ$30-Inputs!$B$33))*Inputs!$B$18*(1-Inputs!$B$32),0)</f>
        <v/>
      </c>
      <c r="AK75" s="23">
        <f>IF(AK$30-Inputs!$B$33&gt;=1,INDEX($D$36:$AM$36,1,MAX(1,AK$30-Inputs!$B$33))*Inputs!$B$18*(1-Inputs!$B$32),0)</f>
        <v/>
      </c>
      <c r="AL75" s="23">
        <f>IF(AL$30-Inputs!$B$33&gt;=1,INDEX($D$36:$AM$36,1,MAX(1,AL$30-Inputs!$B$33))*Inputs!$B$18*(1-Inputs!$B$32),0)</f>
        <v/>
      </c>
      <c r="AM75" s="23">
        <f>IF(AM$30-Inputs!$B$33&gt;=1,INDEX($D$36:$AM$36,1,MAX(1,AM$30-Inputs!$B$33))*Inputs!$B$18*(1-Inputs!$B$32),0)</f>
        <v/>
      </c>
    </row>
    <row r="76">
      <c r="A76" s="21" t="inlineStr">
        <is>
          <t>RaaS fees received</t>
        </is>
      </c>
      <c r="B76" t="inlineStr">
        <is>
          <t>$</t>
        </is>
      </c>
      <c r="C76" s="2" t="inlineStr">
        <is>
          <t>Paid monthly</t>
        </is>
      </c>
      <c r="D76" s="23">
        <f>D51</f>
        <v/>
      </c>
      <c r="E76" s="23">
        <f>E51</f>
        <v/>
      </c>
      <c r="F76" s="23">
        <f>F51</f>
        <v/>
      </c>
      <c r="G76" s="23">
        <f>G51</f>
        <v/>
      </c>
      <c r="H76" s="23">
        <f>H51</f>
        <v/>
      </c>
      <c r="I76" s="23">
        <f>I51</f>
        <v/>
      </c>
      <c r="J76" s="23">
        <f>J51</f>
        <v/>
      </c>
      <c r="K76" s="23">
        <f>K51</f>
        <v/>
      </c>
      <c r="L76" s="23">
        <f>L51</f>
        <v/>
      </c>
      <c r="M76" s="23">
        <f>M51</f>
        <v/>
      </c>
      <c r="N76" s="23">
        <f>N51</f>
        <v/>
      </c>
      <c r="O76" s="23">
        <f>O51</f>
        <v/>
      </c>
      <c r="P76" s="23">
        <f>P51</f>
        <v/>
      </c>
      <c r="Q76" s="23">
        <f>Q51</f>
        <v/>
      </c>
      <c r="R76" s="23">
        <f>R51</f>
        <v/>
      </c>
      <c r="S76" s="23">
        <f>S51</f>
        <v/>
      </c>
      <c r="T76" s="23">
        <f>T51</f>
        <v/>
      </c>
      <c r="U76" s="23">
        <f>U51</f>
        <v/>
      </c>
      <c r="V76" s="23">
        <f>V51</f>
        <v/>
      </c>
      <c r="W76" s="23">
        <f>W51</f>
        <v/>
      </c>
      <c r="X76" s="23">
        <f>X51</f>
        <v/>
      </c>
      <c r="Y76" s="23">
        <f>Y51</f>
        <v/>
      </c>
      <c r="Z76" s="23">
        <f>Z51</f>
        <v/>
      </c>
      <c r="AA76" s="23">
        <f>AA51</f>
        <v/>
      </c>
      <c r="AB76" s="23">
        <f>AB51</f>
        <v/>
      </c>
      <c r="AC76" s="23">
        <f>AC51</f>
        <v/>
      </c>
      <c r="AD76" s="23">
        <f>AD51</f>
        <v/>
      </c>
      <c r="AE76" s="23">
        <f>AE51</f>
        <v/>
      </c>
      <c r="AF76" s="23">
        <f>AF51</f>
        <v/>
      </c>
      <c r="AG76" s="23">
        <f>AG51</f>
        <v/>
      </c>
      <c r="AH76" s="23">
        <f>AH51</f>
        <v/>
      </c>
      <c r="AI76" s="23">
        <f>AI51</f>
        <v/>
      </c>
      <c r="AJ76" s="23">
        <f>AJ51</f>
        <v/>
      </c>
      <c r="AK76" s="23">
        <f>AK51</f>
        <v/>
      </c>
      <c r="AL76" s="23">
        <f>AL51</f>
        <v/>
      </c>
      <c r="AM76" s="23">
        <f>AM51</f>
        <v/>
      </c>
    </row>
    <row r="77">
      <c r="A77" s="21" t="inlineStr">
        <is>
          <t>Cash in from customers</t>
        </is>
      </c>
      <c r="B77" t="inlineStr">
        <is>
          <t>$</t>
        </is>
      </c>
      <c r="C77" s="2" t="inlineStr">
        <is>
          <t>Deposits + balances + RaaS fees</t>
        </is>
      </c>
      <c r="D77" s="23">
        <f>D74+D75+D76</f>
        <v/>
      </c>
      <c r="E77" s="23">
        <f>E74+E75+E76</f>
        <v/>
      </c>
      <c r="F77" s="23">
        <f>F74+F75+F76</f>
        <v/>
      </c>
      <c r="G77" s="23">
        <f>G74+G75+G76</f>
        <v/>
      </c>
      <c r="H77" s="23">
        <f>H74+H75+H76</f>
        <v/>
      </c>
      <c r="I77" s="23">
        <f>I74+I75+I76</f>
        <v/>
      </c>
      <c r="J77" s="23">
        <f>J74+J75+J76</f>
        <v/>
      </c>
      <c r="K77" s="23">
        <f>K74+K75+K76</f>
        <v/>
      </c>
      <c r="L77" s="23">
        <f>L74+L75+L76</f>
        <v/>
      </c>
      <c r="M77" s="23">
        <f>M74+M75+M76</f>
        <v/>
      </c>
      <c r="N77" s="23">
        <f>N74+N75+N76</f>
        <v/>
      </c>
      <c r="O77" s="23">
        <f>O74+O75+O76</f>
        <v/>
      </c>
      <c r="P77" s="23">
        <f>P74+P75+P76</f>
        <v/>
      </c>
      <c r="Q77" s="23">
        <f>Q74+Q75+Q76</f>
        <v/>
      </c>
      <c r="R77" s="23">
        <f>R74+R75+R76</f>
        <v/>
      </c>
      <c r="S77" s="23">
        <f>S74+S75+S76</f>
        <v/>
      </c>
      <c r="T77" s="23">
        <f>T74+T75+T76</f>
        <v/>
      </c>
      <c r="U77" s="23">
        <f>U74+U75+U76</f>
        <v/>
      </c>
      <c r="V77" s="23">
        <f>V74+V75+V76</f>
        <v/>
      </c>
      <c r="W77" s="23">
        <f>W74+W75+W76</f>
        <v/>
      </c>
      <c r="X77" s="23">
        <f>X74+X75+X76</f>
        <v/>
      </c>
      <c r="Y77" s="23">
        <f>Y74+Y75+Y76</f>
        <v/>
      </c>
      <c r="Z77" s="23">
        <f>Z74+Z75+Z76</f>
        <v/>
      </c>
      <c r="AA77" s="23">
        <f>AA74+AA75+AA76</f>
        <v/>
      </c>
      <c r="AB77" s="23">
        <f>AB74+AB75+AB76</f>
        <v/>
      </c>
      <c r="AC77" s="23">
        <f>AC74+AC75+AC76</f>
        <v/>
      </c>
      <c r="AD77" s="23">
        <f>AD74+AD75+AD76</f>
        <v/>
      </c>
      <c r="AE77" s="23">
        <f>AE74+AE75+AE76</f>
        <v/>
      </c>
      <c r="AF77" s="23">
        <f>AF74+AF75+AF76</f>
        <v/>
      </c>
      <c r="AG77" s="23">
        <f>AG74+AG75+AG76</f>
        <v/>
      </c>
      <c r="AH77" s="23">
        <f>AH74+AH75+AH76</f>
        <v/>
      </c>
      <c r="AI77" s="23">
        <f>AI74+AI75+AI76</f>
        <v/>
      </c>
      <c r="AJ77" s="23">
        <f>AJ74+AJ75+AJ76</f>
        <v/>
      </c>
      <c r="AK77" s="23">
        <f>AK74+AK75+AK76</f>
        <v/>
      </c>
      <c r="AL77" s="23">
        <f>AL74+AL75+AL76</f>
        <v/>
      </c>
      <c r="AM77" s="23">
        <f>AM74+AM75+AM76</f>
        <v/>
      </c>
    </row>
    <row r="78">
      <c r="A78" s="21" t="inlineStr">
        <is>
          <t>Paid to build robots</t>
        </is>
      </c>
      <c r="B78" t="inlineStr">
        <is>
          <t>$</t>
        </is>
      </c>
      <c r="C78" s="2" t="inlineStr">
        <is>
          <t>Robots built x cost to build one robot</t>
        </is>
      </c>
      <c r="D78" s="23">
        <f>D39*D47</f>
        <v/>
      </c>
      <c r="E78" s="23">
        <f>E39*E47</f>
        <v/>
      </c>
      <c r="F78" s="23">
        <f>F39*F47</f>
        <v/>
      </c>
      <c r="G78" s="23">
        <f>G39*G47</f>
        <v/>
      </c>
      <c r="H78" s="23">
        <f>H39*H47</f>
        <v/>
      </c>
      <c r="I78" s="23">
        <f>I39*I47</f>
        <v/>
      </c>
      <c r="J78" s="23">
        <f>J39*J47</f>
        <v/>
      </c>
      <c r="K78" s="23">
        <f>K39*K47</f>
        <v/>
      </c>
      <c r="L78" s="23">
        <f>L39*L47</f>
        <v/>
      </c>
      <c r="M78" s="23">
        <f>M39*M47</f>
        <v/>
      </c>
      <c r="N78" s="23">
        <f>N39*N47</f>
        <v/>
      </c>
      <c r="O78" s="23">
        <f>O39*O47</f>
        <v/>
      </c>
      <c r="P78" s="23">
        <f>P39*P47</f>
        <v/>
      </c>
      <c r="Q78" s="23">
        <f>Q39*Q47</f>
        <v/>
      </c>
      <c r="R78" s="23">
        <f>R39*R47</f>
        <v/>
      </c>
      <c r="S78" s="23">
        <f>S39*S47</f>
        <v/>
      </c>
      <c r="T78" s="23">
        <f>T39*T47</f>
        <v/>
      </c>
      <c r="U78" s="23">
        <f>U39*U47</f>
        <v/>
      </c>
      <c r="V78" s="23">
        <f>V39*V47</f>
        <v/>
      </c>
      <c r="W78" s="23">
        <f>W39*W47</f>
        <v/>
      </c>
      <c r="X78" s="23">
        <f>X39*X47</f>
        <v/>
      </c>
      <c r="Y78" s="23">
        <f>Y39*Y47</f>
        <v/>
      </c>
      <c r="Z78" s="23">
        <f>Z39*Z47</f>
        <v/>
      </c>
      <c r="AA78" s="23">
        <f>AA39*AA47</f>
        <v/>
      </c>
      <c r="AB78" s="23">
        <f>AB39*AB47</f>
        <v/>
      </c>
      <c r="AC78" s="23">
        <f>AC39*AC47</f>
        <v/>
      </c>
      <c r="AD78" s="23">
        <f>AD39*AD47</f>
        <v/>
      </c>
      <c r="AE78" s="23">
        <f>AE39*AE47</f>
        <v/>
      </c>
      <c r="AF78" s="23">
        <f>AF39*AF47</f>
        <v/>
      </c>
      <c r="AG78" s="23">
        <f>AG39*AG47</f>
        <v/>
      </c>
      <c r="AH78" s="23">
        <f>AH39*AH47</f>
        <v/>
      </c>
      <c r="AI78" s="23">
        <f>AI39*AI47</f>
        <v/>
      </c>
      <c r="AJ78" s="23">
        <f>AJ39*AJ47</f>
        <v/>
      </c>
      <c r="AK78" s="23">
        <f>AK39*AK47</f>
        <v/>
      </c>
      <c r="AL78" s="23">
        <f>AL39*AL47</f>
        <v/>
      </c>
      <c r="AM78" s="23">
        <f>AM39*AM47</f>
        <v/>
      </c>
    </row>
    <row r="79">
      <c r="A79" s="21" t="inlineStr">
        <is>
          <t>Paid for installation</t>
        </is>
      </c>
      <c r="B79" t="inlineStr">
        <is>
          <t>$</t>
        </is>
      </c>
      <c r="C79" s="2" t="inlineStr">
        <is>
          <t>Robots delivered x installation</t>
        </is>
      </c>
      <c r="D79" s="23">
        <f>D34*Inputs!$B$26</f>
        <v/>
      </c>
      <c r="E79" s="23">
        <f>E34*Inputs!$B$26</f>
        <v/>
      </c>
      <c r="F79" s="23">
        <f>F34*Inputs!$B$26</f>
        <v/>
      </c>
      <c r="G79" s="23">
        <f>G34*Inputs!$B$26</f>
        <v/>
      </c>
      <c r="H79" s="23">
        <f>H34*Inputs!$B$26</f>
        <v/>
      </c>
      <c r="I79" s="23">
        <f>I34*Inputs!$B$26</f>
        <v/>
      </c>
      <c r="J79" s="23">
        <f>J34*Inputs!$B$26</f>
        <v/>
      </c>
      <c r="K79" s="23">
        <f>K34*Inputs!$B$26</f>
        <v/>
      </c>
      <c r="L79" s="23">
        <f>L34*Inputs!$B$26</f>
        <v/>
      </c>
      <c r="M79" s="23">
        <f>M34*Inputs!$B$26</f>
        <v/>
      </c>
      <c r="N79" s="23">
        <f>N34*Inputs!$B$26</f>
        <v/>
      </c>
      <c r="O79" s="23">
        <f>O34*Inputs!$B$26</f>
        <v/>
      </c>
      <c r="P79" s="23">
        <f>P34*Inputs!$B$26</f>
        <v/>
      </c>
      <c r="Q79" s="23">
        <f>Q34*Inputs!$B$26</f>
        <v/>
      </c>
      <c r="R79" s="23">
        <f>R34*Inputs!$B$26</f>
        <v/>
      </c>
      <c r="S79" s="23">
        <f>S34*Inputs!$B$26</f>
        <v/>
      </c>
      <c r="T79" s="23">
        <f>T34*Inputs!$B$26</f>
        <v/>
      </c>
      <c r="U79" s="23">
        <f>U34*Inputs!$B$26</f>
        <v/>
      </c>
      <c r="V79" s="23">
        <f>V34*Inputs!$B$26</f>
        <v/>
      </c>
      <c r="W79" s="23">
        <f>W34*Inputs!$B$26</f>
        <v/>
      </c>
      <c r="X79" s="23">
        <f>X34*Inputs!$B$26</f>
        <v/>
      </c>
      <c r="Y79" s="23">
        <f>Y34*Inputs!$B$26</f>
        <v/>
      </c>
      <c r="Z79" s="23">
        <f>Z34*Inputs!$B$26</f>
        <v/>
      </c>
      <c r="AA79" s="23">
        <f>AA34*Inputs!$B$26</f>
        <v/>
      </c>
      <c r="AB79" s="23">
        <f>AB34*Inputs!$B$26</f>
        <v/>
      </c>
      <c r="AC79" s="23">
        <f>AC34*Inputs!$B$26</f>
        <v/>
      </c>
      <c r="AD79" s="23">
        <f>AD34*Inputs!$B$26</f>
        <v/>
      </c>
      <c r="AE79" s="23">
        <f>AE34*Inputs!$B$26</f>
        <v/>
      </c>
      <c r="AF79" s="23">
        <f>AF34*Inputs!$B$26</f>
        <v/>
      </c>
      <c r="AG79" s="23">
        <f>AG34*Inputs!$B$26</f>
        <v/>
      </c>
      <c r="AH79" s="23">
        <f>AH34*Inputs!$B$26</f>
        <v/>
      </c>
      <c r="AI79" s="23">
        <f>AI34*Inputs!$B$26</f>
        <v/>
      </c>
      <c r="AJ79" s="23">
        <f>AJ34*Inputs!$B$26</f>
        <v/>
      </c>
      <c r="AK79" s="23">
        <f>AK34*Inputs!$B$26</f>
        <v/>
      </c>
      <c r="AL79" s="23">
        <f>AL34*Inputs!$B$26</f>
        <v/>
      </c>
      <c r="AM79" s="23">
        <f>AM34*Inputs!$B$26</f>
        <v/>
      </c>
    </row>
    <row r="80">
      <c r="A80" s="21" t="inlineStr">
        <is>
          <t>Warranty and service paid</t>
        </is>
      </c>
      <c r="B80" t="inlineStr">
        <is>
          <t>$</t>
        </is>
      </c>
      <c r="C80" s="2" t="inlineStr">
        <is>
          <t>Warranty reserve on robots sold + RaaS service</t>
        </is>
      </c>
      <c r="D80" s="23">
        <f>D36*Inputs!$B$27*Inputs!$B$18+D55</f>
        <v/>
      </c>
      <c r="E80" s="23">
        <f>E36*Inputs!$B$27*Inputs!$B$18+E55</f>
        <v/>
      </c>
      <c r="F80" s="23">
        <f>F36*Inputs!$B$27*Inputs!$B$18+F55</f>
        <v/>
      </c>
      <c r="G80" s="23">
        <f>G36*Inputs!$B$27*Inputs!$B$18+G55</f>
        <v/>
      </c>
      <c r="H80" s="23">
        <f>H36*Inputs!$B$27*Inputs!$B$18+H55</f>
        <v/>
      </c>
      <c r="I80" s="23">
        <f>I36*Inputs!$B$27*Inputs!$B$18+I55</f>
        <v/>
      </c>
      <c r="J80" s="23">
        <f>J36*Inputs!$B$27*Inputs!$B$18+J55</f>
        <v/>
      </c>
      <c r="K80" s="23">
        <f>K36*Inputs!$B$27*Inputs!$B$18+K55</f>
        <v/>
      </c>
      <c r="L80" s="23">
        <f>L36*Inputs!$B$27*Inputs!$B$18+L55</f>
        <v/>
      </c>
      <c r="M80" s="23">
        <f>M36*Inputs!$B$27*Inputs!$B$18+M55</f>
        <v/>
      </c>
      <c r="N80" s="23">
        <f>N36*Inputs!$B$27*Inputs!$B$18+N55</f>
        <v/>
      </c>
      <c r="O80" s="23">
        <f>O36*Inputs!$B$27*Inputs!$B$18+O55</f>
        <v/>
      </c>
      <c r="P80" s="23">
        <f>P36*Inputs!$B$27*Inputs!$B$18+P55</f>
        <v/>
      </c>
      <c r="Q80" s="23">
        <f>Q36*Inputs!$B$27*Inputs!$B$18+Q55</f>
        <v/>
      </c>
      <c r="R80" s="23">
        <f>R36*Inputs!$B$27*Inputs!$B$18+R55</f>
        <v/>
      </c>
      <c r="S80" s="23">
        <f>S36*Inputs!$B$27*Inputs!$B$18+S55</f>
        <v/>
      </c>
      <c r="T80" s="23">
        <f>T36*Inputs!$B$27*Inputs!$B$18+T55</f>
        <v/>
      </c>
      <c r="U80" s="23">
        <f>U36*Inputs!$B$27*Inputs!$B$18+U55</f>
        <v/>
      </c>
      <c r="V80" s="23">
        <f>V36*Inputs!$B$27*Inputs!$B$18+V55</f>
        <v/>
      </c>
      <c r="W80" s="23">
        <f>W36*Inputs!$B$27*Inputs!$B$18+W55</f>
        <v/>
      </c>
      <c r="X80" s="23">
        <f>X36*Inputs!$B$27*Inputs!$B$18+X55</f>
        <v/>
      </c>
      <c r="Y80" s="23">
        <f>Y36*Inputs!$B$27*Inputs!$B$18+Y55</f>
        <v/>
      </c>
      <c r="Z80" s="23">
        <f>Z36*Inputs!$B$27*Inputs!$B$18+Z55</f>
        <v/>
      </c>
      <c r="AA80" s="23">
        <f>AA36*Inputs!$B$27*Inputs!$B$18+AA55</f>
        <v/>
      </c>
      <c r="AB80" s="23">
        <f>AB36*Inputs!$B$27*Inputs!$B$18+AB55</f>
        <v/>
      </c>
      <c r="AC80" s="23">
        <f>AC36*Inputs!$B$27*Inputs!$B$18+AC55</f>
        <v/>
      </c>
      <c r="AD80" s="23">
        <f>AD36*Inputs!$B$27*Inputs!$B$18+AD55</f>
        <v/>
      </c>
      <c r="AE80" s="23">
        <f>AE36*Inputs!$B$27*Inputs!$B$18+AE55</f>
        <v/>
      </c>
      <c r="AF80" s="23">
        <f>AF36*Inputs!$B$27*Inputs!$B$18+AF55</f>
        <v/>
      </c>
      <c r="AG80" s="23">
        <f>AG36*Inputs!$B$27*Inputs!$B$18+AG55</f>
        <v/>
      </c>
      <c r="AH80" s="23">
        <f>AH36*Inputs!$B$27*Inputs!$B$18+AH55</f>
        <v/>
      </c>
      <c r="AI80" s="23">
        <f>AI36*Inputs!$B$27*Inputs!$B$18+AI55</f>
        <v/>
      </c>
      <c r="AJ80" s="23">
        <f>AJ36*Inputs!$B$27*Inputs!$B$18+AJ55</f>
        <v/>
      </c>
      <c r="AK80" s="23">
        <f>AK36*Inputs!$B$27*Inputs!$B$18+AK55</f>
        <v/>
      </c>
      <c r="AL80" s="23">
        <f>AL36*Inputs!$B$27*Inputs!$B$18+AL55</f>
        <v/>
      </c>
      <c r="AM80" s="23">
        <f>AM36*Inputs!$B$27*Inputs!$B$18+AM55</f>
        <v/>
      </c>
    </row>
    <row r="81">
      <c r="A81" s="21" t="inlineStr">
        <is>
          <t>Operating costs paid</t>
        </is>
      </c>
      <c r="B81" t="inlineStr">
        <is>
          <t>$</t>
        </is>
      </c>
      <c r="C81" s="2" t="inlineStr">
        <is>
          <t>Paid in the month</t>
        </is>
      </c>
      <c r="D81" s="23">
        <f>D67</f>
        <v/>
      </c>
      <c r="E81" s="23">
        <f>E67</f>
        <v/>
      </c>
      <c r="F81" s="23">
        <f>F67</f>
        <v/>
      </c>
      <c r="G81" s="23">
        <f>G67</f>
        <v/>
      </c>
      <c r="H81" s="23">
        <f>H67</f>
        <v/>
      </c>
      <c r="I81" s="23">
        <f>I67</f>
        <v/>
      </c>
      <c r="J81" s="23">
        <f>J67</f>
        <v/>
      </c>
      <c r="K81" s="23">
        <f>K67</f>
        <v/>
      </c>
      <c r="L81" s="23">
        <f>L67</f>
        <v/>
      </c>
      <c r="M81" s="23">
        <f>M67</f>
        <v/>
      </c>
      <c r="N81" s="23">
        <f>N67</f>
        <v/>
      </c>
      <c r="O81" s="23">
        <f>O67</f>
        <v/>
      </c>
      <c r="P81" s="23">
        <f>P67</f>
        <v/>
      </c>
      <c r="Q81" s="23">
        <f>Q67</f>
        <v/>
      </c>
      <c r="R81" s="23">
        <f>R67</f>
        <v/>
      </c>
      <c r="S81" s="23">
        <f>S67</f>
        <v/>
      </c>
      <c r="T81" s="23">
        <f>T67</f>
        <v/>
      </c>
      <c r="U81" s="23">
        <f>U67</f>
        <v/>
      </c>
      <c r="V81" s="23">
        <f>V67</f>
        <v/>
      </c>
      <c r="W81" s="23">
        <f>W67</f>
        <v/>
      </c>
      <c r="X81" s="23">
        <f>X67</f>
        <v/>
      </c>
      <c r="Y81" s="23">
        <f>Y67</f>
        <v/>
      </c>
      <c r="Z81" s="23">
        <f>Z67</f>
        <v/>
      </c>
      <c r="AA81" s="23">
        <f>AA67</f>
        <v/>
      </c>
      <c r="AB81" s="23">
        <f>AB67</f>
        <v/>
      </c>
      <c r="AC81" s="23">
        <f>AC67</f>
        <v/>
      </c>
      <c r="AD81" s="23">
        <f>AD67</f>
        <v/>
      </c>
      <c r="AE81" s="23">
        <f>AE67</f>
        <v/>
      </c>
      <c r="AF81" s="23">
        <f>AF67</f>
        <v/>
      </c>
      <c r="AG81" s="23">
        <f>AG67</f>
        <v/>
      </c>
      <c r="AH81" s="23">
        <f>AH67</f>
        <v/>
      </c>
      <c r="AI81" s="23">
        <f>AI67</f>
        <v/>
      </c>
      <c r="AJ81" s="23">
        <f>AJ67</f>
        <v/>
      </c>
      <c r="AK81" s="23">
        <f>AK67</f>
        <v/>
      </c>
      <c r="AL81" s="23">
        <f>AL67</f>
        <v/>
      </c>
      <c r="AM81" s="23">
        <f>AM67</f>
        <v/>
      </c>
    </row>
    <row r="82">
      <c r="A82" s="21" t="inlineStr">
        <is>
          <t>Equipment bought</t>
        </is>
      </c>
      <c r="B82" t="inlineStr">
        <is>
          <t>$</t>
        </is>
      </c>
      <c r="C82" s="2" t="inlineStr">
        <is>
          <t>Test rigs, pilot line and tooling, in their months</t>
        </is>
      </c>
      <c r="D82" s="23">
        <f>IF(D$30=Inputs!$B$42,Inputs!$B$41,0)+IF(D$30=Inputs!$B$44,Inputs!$B$43,0)</f>
        <v/>
      </c>
      <c r="E82" s="23">
        <f>IF(E$30=Inputs!$B$42,Inputs!$B$41,0)+IF(E$30=Inputs!$B$44,Inputs!$B$43,0)</f>
        <v/>
      </c>
      <c r="F82" s="23">
        <f>IF(F$30=Inputs!$B$42,Inputs!$B$41,0)+IF(F$30=Inputs!$B$44,Inputs!$B$43,0)</f>
        <v/>
      </c>
      <c r="G82" s="23">
        <f>IF(G$30=Inputs!$B$42,Inputs!$B$41,0)+IF(G$30=Inputs!$B$44,Inputs!$B$43,0)</f>
        <v/>
      </c>
      <c r="H82" s="23">
        <f>IF(H$30=Inputs!$B$42,Inputs!$B$41,0)+IF(H$30=Inputs!$B$44,Inputs!$B$43,0)</f>
        <v/>
      </c>
      <c r="I82" s="23">
        <f>IF(I$30=Inputs!$B$42,Inputs!$B$41,0)+IF(I$30=Inputs!$B$44,Inputs!$B$43,0)</f>
        <v/>
      </c>
      <c r="J82" s="23">
        <f>IF(J$30=Inputs!$B$42,Inputs!$B$41,0)+IF(J$30=Inputs!$B$44,Inputs!$B$43,0)</f>
        <v/>
      </c>
      <c r="K82" s="23">
        <f>IF(K$30=Inputs!$B$42,Inputs!$B$41,0)+IF(K$30=Inputs!$B$44,Inputs!$B$43,0)</f>
        <v/>
      </c>
      <c r="L82" s="23">
        <f>IF(L$30=Inputs!$B$42,Inputs!$B$41,0)+IF(L$30=Inputs!$B$44,Inputs!$B$43,0)</f>
        <v/>
      </c>
      <c r="M82" s="23">
        <f>IF(M$30=Inputs!$B$42,Inputs!$B$41,0)+IF(M$30=Inputs!$B$44,Inputs!$B$43,0)</f>
        <v/>
      </c>
      <c r="N82" s="23">
        <f>IF(N$30=Inputs!$B$42,Inputs!$B$41,0)+IF(N$30=Inputs!$B$44,Inputs!$B$43,0)</f>
        <v/>
      </c>
      <c r="O82" s="23">
        <f>IF(O$30=Inputs!$B$42,Inputs!$B$41,0)+IF(O$30=Inputs!$B$44,Inputs!$B$43,0)</f>
        <v/>
      </c>
      <c r="P82" s="23">
        <f>IF(P$30=Inputs!$B$42,Inputs!$B$41,0)+IF(P$30=Inputs!$B$44,Inputs!$B$43,0)</f>
        <v/>
      </c>
      <c r="Q82" s="23">
        <f>IF(Q$30=Inputs!$B$42,Inputs!$B$41,0)+IF(Q$30=Inputs!$B$44,Inputs!$B$43,0)</f>
        <v/>
      </c>
      <c r="R82" s="23">
        <f>IF(R$30=Inputs!$B$42,Inputs!$B$41,0)+IF(R$30=Inputs!$B$44,Inputs!$B$43,0)</f>
        <v/>
      </c>
      <c r="S82" s="23">
        <f>IF(S$30=Inputs!$B$42,Inputs!$B$41,0)+IF(S$30=Inputs!$B$44,Inputs!$B$43,0)</f>
        <v/>
      </c>
      <c r="T82" s="23">
        <f>IF(T$30=Inputs!$B$42,Inputs!$B$41,0)+IF(T$30=Inputs!$B$44,Inputs!$B$43,0)</f>
        <v/>
      </c>
      <c r="U82" s="23">
        <f>IF(U$30=Inputs!$B$42,Inputs!$B$41,0)+IF(U$30=Inputs!$B$44,Inputs!$B$43,0)</f>
        <v/>
      </c>
      <c r="V82" s="23">
        <f>IF(V$30=Inputs!$B$42,Inputs!$B$41,0)+IF(V$30=Inputs!$B$44,Inputs!$B$43,0)</f>
        <v/>
      </c>
      <c r="W82" s="23">
        <f>IF(W$30=Inputs!$B$42,Inputs!$B$41,0)+IF(W$30=Inputs!$B$44,Inputs!$B$43,0)</f>
        <v/>
      </c>
      <c r="X82" s="23">
        <f>IF(X$30=Inputs!$B$42,Inputs!$B$41,0)+IF(X$30=Inputs!$B$44,Inputs!$B$43,0)</f>
        <v/>
      </c>
      <c r="Y82" s="23">
        <f>IF(Y$30=Inputs!$B$42,Inputs!$B$41,0)+IF(Y$30=Inputs!$B$44,Inputs!$B$43,0)</f>
        <v/>
      </c>
      <c r="Z82" s="23">
        <f>IF(Z$30=Inputs!$B$42,Inputs!$B$41,0)+IF(Z$30=Inputs!$B$44,Inputs!$B$43,0)</f>
        <v/>
      </c>
      <c r="AA82" s="23">
        <f>IF(AA$30=Inputs!$B$42,Inputs!$B$41,0)+IF(AA$30=Inputs!$B$44,Inputs!$B$43,0)</f>
        <v/>
      </c>
      <c r="AB82" s="23">
        <f>IF(AB$30=Inputs!$B$42,Inputs!$B$41,0)+IF(AB$30=Inputs!$B$44,Inputs!$B$43,0)</f>
        <v/>
      </c>
      <c r="AC82" s="23">
        <f>IF(AC$30=Inputs!$B$42,Inputs!$B$41,0)+IF(AC$30=Inputs!$B$44,Inputs!$B$43,0)</f>
        <v/>
      </c>
      <c r="AD82" s="23">
        <f>IF(AD$30=Inputs!$B$42,Inputs!$B$41,0)+IF(AD$30=Inputs!$B$44,Inputs!$B$43,0)</f>
        <v/>
      </c>
      <c r="AE82" s="23">
        <f>IF(AE$30=Inputs!$B$42,Inputs!$B$41,0)+IF(AE$30=Inputs!$B$44,Inputs!$B$43,0)</f>
        <v/>
      </c>
      <c r="AF82" s="23">
        <f>IF(AF$30=Inputs!$B$42,Inputs!$B$41,0)+IF(AF$30=Inputs!$B$44,Inputs!$B$43,0)</f>
        <v/>
      </c>
      <c r="AG82" s="23">
        <f>IF(AG$30=Inputs!$B$42,Inputs!$B$41,0)+IF(AG$30=Inputs!$B$44,Inputs!$B$43,0)</f>
        <v/>
      </c>
      <c r="AH82" s="23">
        <f>IF(AH$30=Inputs!$B$42,Inputs!$B$41,0)+IF(AH$30=Inputs!$B$44,Inputs!$B$43,0)</f>
        <v/>
      </c>
      <c r="AI82" s="23">
        <f>IF(AI$30=Inputs!$B$42,Inputs!$B$41,0)+IF(AI$30=Inputs!$B$44,Inputs!$B$43,0)</f>
        <v/>
      </c>
      <c r="AJ82" s="23">
        <f>IF(AJ$30=Inputs!$B$42,Inputs!$B$41,0)+IF(AJ$30=Inputs!$B$44,Inputs!$B$43,0)</f>
        <v/>
      </c>
      <c r="AK82" s="23">
        <f>IF(AK$30=Inputs!$B$42,Inputs!$B$41,0)+IF(AK$30=Inputs!$B$44,Inputs!$B$43,0)</f>
        <v/>
      </c>
      <c r="AL82" s="23">
        <f>IF(AL$30=Inputs!$B$42,Inputs!$B$41,0)+IF(AL$30=Inputs!$B$44,Inputs!$B$43,0)</f>
        <v/>
      </c>
      <c r="AM82" s="23">
        <f>IF(AM$30=Inputs!$B$42,Inputs!$B$41,0)+IF(AM$30=Inputs!$B$44,Inputs!$B$43,0)</f>
        <v/>
      </c>
    </row>
    <row r="83">
      <c r="A83" s="21" t="inlineStr">
        <is>
          <t>Cash flow before financing</t>
        </is>
      </c>
      <c r="B83" t="inlineStr">
        <is>
          <t>$</t>
        </is>
      </c>
      <c r="C83" s="2" t="inlineStr">
        <is>
          <t>Cash in - everything paid out</t>
        </is>
      </c>
      <c r="D83" s="23">
        <f>D77-D78-D79-D80-D81-D82</f>
        <v/>
      </c>
      <c r="E83" s="23">
        <f>E77-E78-E79-E80-E81-E82</f>
        <v/>
      </c>
      <c r="F83" s="23">
        <f>F77-F78-F79-F80-F81-F82</f>
        <v/>
      </c>
      <c r="G83" s="23">
        <f>G77-G78-G79-G80-G81-G82</f>
        <v/>
      </c>
      <c r="H83" s="23">
        <f>H77-H78-H79-H80-H81-H82</f>
        <v/>
      </c>
      <c r="I83" s="23">
        <f>I77-I78-I79-I80-I81-I82</f>
        <v/>
      </c>
      <c r="J83" s="23">
        <f>J77-J78-J79-J80-J81-J82</f>
        <v/>
      </c>
      <c r="K83" s="23">
        <f>K77-K78-K79-K80-K81-K82</f>
        <v/>
      </c>
      <c r="L83" s="23">
        <f>L77-L78-L79-L80-L81-L82</f>
        <v/>
      </c>
      <c r="M83" s="23">
        <f>M77-M78-M79-M80-M81-M82</f>
        <v/>
      </c>
      <c r="N83" s="23">
        <f>N77-N78-N79-N80-N81-N82</f>
        <v/>
      </c>
      <c r="O83" s="23">
        <f>O77-O78-O79-O80-O81-O82</f>
        <v/>
      </c>
      <c r="P83" s="23">
        <f>P77-P78-P79-P80-P81-P82</f>
        <v/>
      </c>
      <c r="Q83" s="23">
        <f>Q77-Q78-Q79-Q80-Q81-Q82</f>
        <v/>
      </c>
      <c r="R83" s="23">
        <f>R77-R78-R79-R80-R81-R82</f>
        <v/>
      </c>
      <c r="S83" s="23">
        <f>S77-S78-S79-S80-S81-S82</f>
        <v/>
      </c>
      <c r="T83" s="23">
        <f>T77-T78-T79-T80-T81-T82</f>
        <v/>
      </c>
      <c r="U83" s="23">
        <f>U77-U78-U79-U80-U81-U82</f>
        <v/>
      </c>
      <c r="V83" s="23">
        <f>V77-V78-V79-V80-V81-V82</f>
        <v/>
      </c>
      <c r="W83" s="23">
        <f>W77-W78-W79-W80-W81-W82</f>
        <v/>
      </c>
      <c r="X83" s="23">
        <f>X77-X78-X79-X80-X81-X82</f>
        <v/>
      </c>
      <c r="Y83" s="23">
        <f>Y77-Y78-Y79-Y80-Y81-Y82</f>
        <v/>
      </c>
      <c r="Z83" s="23">
        <f>Z77-Z78-Z79-Z80-Z81-Z82</f>
        <v/>
      </c>
      <c r="AA83" s="23">
        <f>AA77-AA78-AA79-AA80-AA81-AA82</f>
        <v/>
      </c>
      <c r="AB83" s="23">
        <f>AB77-AB78-AB79-AB80-AB81-AB82</f>
        <v/>
      </c>
      <c r="AC83" s="23">
        <f>AC77-AC78-AC79-AC80-AC81-AC82</f>
        <v/>
      </c>
      <c r="AD83" s="23">
        <f>AD77-AD78-AD79-AD80-AD81-AD82</f>
        <v/>
      </c>
      <c r="AE83" s="23">
        <f>AE77-AE78-AE79-AE80-AE81-AE82</f>
        <v/>
      </c>
      <c r="AF83" s="23">
        <f>AF77-AF78-AF79-AF80-AF81-AF82</f>
        <v/>
      </c>
      <c r="AG83" s="23">
        <f>AG77-AG78-AG79-AG80-AG81-AG82</f>
        <v/>
      </c>
      <c r="AH83" s="23">
        <f>AH77-AH78-AH79-AH80-AH81-AH82</f>
        <v/>
      </c>
      <c r="AI83" s="23">
        <f>AI77-AI78-AI79-AI80-AI81-AI82</f>
        <v/>
      </c>
      <c r="AJ83" s="23">
        <f>AJ77-AJ78-AJ79-AJ80-AJ81-AJ82</f>
        <v/>
      </c>
      <c r="AK83" s="23">
        <f>AK77-AK78-AK79-AK80-AK81-AK82</f>
        <v/>
      </c>
      <c r="AL83" s="23">
        <f>AL77-AL78-AL79-AL80-AL81-AL82</f>
        <v/>
      </c>
      <c r="AM83" s="23">
        <f>AM77-AM78-AM79-AM80-AM81-AM82</f>
        <v/>
      </c>
    </row>
    <row r="84">
      <c r="A84" s="21" t="inlineStr">
        <is>
          <t>RaaS fleet capex (memo)</t>
        </is>
      </c>
      <c r="B84" t="inlineStr">
        <is>
          <t>$</t>
        </is>
      </c>
      <c r="C84" s="2" t="inlineStr">
        <is>
          <t>Rented robots x (build cost + installation): already in the lines above</t>
        </is>
      </c>
      <c r="D84" s="23">
        <f>D35*(D48+Inputs!$B$26)</f>
        <v/>
      </c>
      <c r="E84" s="23">
        <f>E35*(E48+Inputs!$B$26)</f>
        <v/>
      </c>
      <c r="F84" s="23">
        <f>F35*(F48+Inputs!$B$26)</f>
        <v/>
      </c>
      <c r="G84" s="23">
        <f>G35*(G48+Inputs!$B$26)</f>
        <v/>
      </c>
      <c r="H84" s="23">
        <f>H35*(H48+Inputs!$B$26)</f>
        <v/>
      </c>
      <c r="I84" s="23">
        <f>I35*(I48+Inputs!$B$26)</f>
        <v/>
      </c>
      <c r="J84" s="23">
        <f>J35*(J48+Inputs!$B$26)</f>
        <v/>
      </c>
      <c r="K84" s="23">
        <f>K35*(K48+Inputs!$B$26)</f>
        <v/>
      </c>
      <c r="L84" s="23">
        <f>L35*(L48+Inputs!$B$26)</f>
        <v/>
      </c>
      <c r="M84" s="23">
        <f>M35*(M48+Inputs!$B$26)</f>
        <v/>
      </c>
      <c r="N84" s="23">
        <f>N35*(N48+Inputs!$B$26)</f>
        <v/>
      </c>
      <c r="O84" s="23">
        <f>O35*(O48+Inputs!$B$26)</f>
        <v/>
      </c>
      <c r="P84" s="23">
        <f>P35*(P48+Inputs!$B$26)</f>
        <v/>
      </c>
      <c r="Q84" s="23">
        <f>Q35*(Q48+Inputs!$B$26)</f>
        <v/>
      </c>
      <c r="R84" s="23">
        <f>R35*(R48+Inputs!$B$26)</f>
        <v/>
      </c>
      <c r="S84" s="23">
        <f>S35*(S48+Inputs!$B$26)</f>
        <v/>
      </c>
      <c r="T84" s="23">
        <f>T35*(T48+Inputs!$B$26)</f>
        <v/>
      </c>
      <c r="U84" s="23">
        <f>U35*(U48+Inputs!$B$26)</f>
        <v/>
      </c>
      <c r="V84" s="23">
        <f>V35*(V48+Inputs!$B$26)</f>
        <v/>
      </c>
      <c r="W84" s="23">
        <f>W35*(W48+Inputs!$B$26)</f>
        <v/>
      </c>
      <c r="X84" s="23">
        <f>X35*(X48+Inputs!$B$26)</f>
        <v/>
      </c>
      <c r="Y84" s="23">
        <f>Y35*(Y48+Inputs!$B$26)</f>
        <v/>
      </c>
      <c r="Z84" s="23">
        <f>Z35*(Z48+Inputs!$B$26)</f>
        <v/>
      </c>
      <c r="AA84" s="23">
        <f>AA35*(AA48+Inputs!$B$26)</f>
        <v/>
      </c>
      <c r="AB84" s="23">
        <f>AB35*(AB48+Inputs!$B$26)</f>
        <v/>
      </c>
      <c r="AC84" s="23">
        <f>AC35*(AC48+Inputs!$B$26)</f>
        <v/>
      </c>
      <c r="AD84" s="23">
        <f>AD35*(AD48+Inputs!$B$26)</f>
        <v/>
      </c>
      <c r="AE84" s="23">
        <f>AE35*(AE48+Inputs!$B$26)</f>
        <v/>
      </c>
      <c r="AF84" s="23">
        <f>AF35*(AF48+Inputs!$B$26)</f>
        <v/>
      </c>
      <c r="AG84" s="23">
        <f>AG35*(AG48+Inputs!$B$26)</f>
        <v/>
      </c>
      <c r="AH84" s="23">
        <f>AH35*(AH48+Inputs!$B$26)</f>
        <v/>
      </c>
      <c r="AI84" s="23">
        <f>AI35*(AI48+Inputs!$B$26)</f>
        <v/>
      </c>
      <c r="AJ84" s="23">
        <f>AJ35*(AJ48+Inputs!$B$26)</f>
        <v/>
      </c>
      <c r="AK84" s="23">
        <f>AK35*(AK48+Inputs!$B$26)</f>
        <v/>
      </c>
      <c r="AL84" s="23">
        <f>AL35*(AL48+Inputs!$B$26)</f>
        <v/>
      </c>
      <c r="AM84" s="23">
        <f>AM35*(AM48+Inputs!$B$26)</f>
        <v/>
      </c>
    </row>
    <row r="85">
      <c r="A85" s="21" t="inlineStr">
        <is>
          <t>Fleet facility drawn</t>
        </is>
      </c>
      <c r="B85" t="inlineStr">
        <is>
          <t>$</t>
        </is>
      </c>
      <c r="C85" s="2" t="inlineStr">
        <is>
          <t>Advance rate x RaaS fleet capex, from the start month</t>
        </is>
      </c>
      <c r="D85" s="23">
        <f>Inputs!$B$46*(D$30&gt;=Inputs!$B$47)*Inputs!$B$48*D84</f>
        <v/>
      </c>
      <c r="E85" s="23">
        <f>Inputs!$B$46*(E$30&gt;=Inputs!$B$47)*Inputs!$B$48*E84</f>
        <v/>
      </c>
      <c r="F85" s="23">
        <f>Inputs!$B$46*(F$30&gt;=Inputs!$B$47)*Inputs!$B$48*F84</f>
        <v/>
      </c>
      <c r="G85" s="23">
        <f>Inputs!$B$46*(G$30&gt;=Inputs!$B$47)*Inputs!$B$48*G84</f>
        <v/>
      </c>
      <c r="H85" s="23">
        <f>Inputs!$B$46*(H$30&gt;=Inputs!$B$47)*Inputs!$B$48*H84</f>
        <v/>
      </c>
      <c r="I85" s="23">
        <f>Inputs!$B$46*(I$30&gt;=Inputs!$B$47)*Inputs!$B$48*I84</f>
        <v/>
      </c>
      <c r="J85" s="23">
        <f>Inputs!$B$46*(J$30&gt;=Inputs!$B$47)*Inputs!$B$48*J84</f>
        <v/>
      </c>
      <c r="K85" s="23">
        <f>Inputs!$B$46*(K$30&gt;=Inputs!$B$47)*Inputs!$B$48*K84</f>
        <v/>
      </c>
      <c r="L85" s="23">
        <f>Inputs!$B$46*(L$30&gt;=Inputs!$B$47)*Inputs!$B$48*L84</f>
        <v/>
      </c>
      <c r="M85" s="23">
        <f>Inputs!$B$46*(M$30&gt;=Inputs!$B$47)*Inputs!$B$48*M84</f>
        <v/>
      </c>
      <c r="N85" s="23">
        <f>Inputs!$B$46*(N$30&gt;=Inputs!$B$47)*Inputs!$B$48*N84</f>
        <v/>
      </c>
      <c r="O85" s="23">
        <f>Inputs!$B$46*(O$30&gt;=Inputs!$B$47)*Inputs!$B$48*O84</f>
        <v/>
      </c>
      <c r="P85" s="23">
        <f>Inputs!$B$46*(P$30&gt;=Inputs!$B$47)*Inputs!$B$48*P84</f>
        <v/>
      </c>
      <c r="Q85" s="23">
        <f>Inputs!$B$46*(Q$30&gt;=Inputs!$B$47)*Inputs!$B$48*Q84</f>
        <v/>
      </c>
      <c r="R85" s="23">
        <f>Inputs!$B$46*(R$30&gt;=Inputs!$B$47)*Inputs!$B$48*R84</f>
        <v/>
      </c>
      <c r="S85" s="23">
        <f>Inputs!$B$46*(S$30&gt;=Inputs!$B$47)*Inputs!$B$48*S84</f>
        <v/>
      </c>
      <c r="T85" s="23">
        <f>Inputs!$B$46*(T$30&gt;=Inputs!$B$47)*Inputs!$B$48*T84</f>
        <v/>
      </c>
      <c r="U85" s="23">
        <f>Inputs!$B$46*(U$30&gt;=Inputs!$B$47)*Inputs!$B$48*U84</f>
        <v/>
      </c>
      <c r="V85" s="23">
        <f>Inputs!$B$46*(V$30&gt;=Inputs!$B$47)*Inputs!$B$48*V84</f>
        <v/>
      </c>
      <c r="W85" s="23">
        <f>Inputs!$B$46*(W$30&gt;=Inputs!$B$47)*Inputs!$B$48*W84</f>
        <v/>
      </c>
      <c r="X85" s="23">
        <f>Inputs!$B$46*(X$30&gt;=Inputs!$B$47)*Inputs!$B$48*X84</f>
        <v/>
      </c>
      <c r="Y85" s="23">
        <f>Inputs!$B$46*(Y$30&gt;=Inputs!$B$47)*Inputs!$B$48*Y84</f>
        <v/>
      </c>
      <c r="Z85" s="23">
        <f>Inputs!$B$46*(Z$30&gt;=Inputs!$B$47)*Inputs!$B$48*Z84</f>
        <v/>
      </c>
      <c r="AA85" s="23">
        <f>Inputs!$B$46*(AA$30&gt;=Inputs!$B$47)*Inputs!$B$48*AA84</f>
        <v/>
      </c>
      <c r="AB85" s="23">
        <f>Inputs!$B$46*(AB$30&gt;=Inputs!$B$47)*Inputs!$B$48*AB84</f>
        <v/>
      </c>
      <c r="AC85" s="23">
        <f>Inputs!$B$46*(AC$30&gt;=Inputs!$B$47)*Inputs!$B$48*AC84</f>
        <v/>
      </c>
      <c r="AD85" s="23">
        <f>Inputs!$B$46*(AD$30&gt;=Inputs!$B$47)*Inputs!$B$48*AD84</f>
        <v/>
      </c>
      <c r="AE85" s="23">
        <f>Inputs!$B$46*(AE$30&gt;=Inputs!$B$47)*Inputs!$B$48*AE84</f>
        <v/>
      </c>
      <c r="AF85" s="23">
        <f>Inputs!$B$46*(AF$30&gt;=Inputs!$B$47)*Inputs!$B$48*AF84</f>
        <v/>
      </c>
      <c r="AG85" s="23">
        <f>Inputs!$B$46*(AG$30&gt;=Inputs!$B$47)*Inputs!$B$48*AG84</f>
        <v/>
      </c>
      <c r="AH85" s="23">
        <f>Inputs!$B$46*(AH$30&gt;=Inputs!$B$47)*Inputs!$B$48*AH84</f>
        <v/>
      </c>
      <c r="AI85" s="23">
        <f>Inputs!$B$46*(AI$30&gt;=Inputs!$B$47)*Inputs!$B$48*AI84</f>
        <v/>
      </c>
      <c r="AJ85" s="23">
        <f>Inputs!$B$46*(AJ$30&gt;=Inputs!$B$47)*Inputs!$B$48*AJ84</f>
        <v/>
      </c>
      <c r="AK85" s="23">
        <f>Inputs!$B$46*(AK$30&gt;=Inputs!$B$47)*Inputs!$B$48*AK84</f>
        <v/>
      </c>
      <c r="AL85" s="23">
        <f>Inputs!$B$46*(AL$30&gt;=Inputs!$B$47)*Inputs!$B$48*AL84</f>
        <v/>
      </c>
      <c r="AM85" s="23">
        <f>Inputs!$B$46*(AM$30&gt;=Inputs!$B$47)*Inputs!$B$48*AM84</f>
        <v/>
      </c>
    </row>
    <row r="86">
      <c r="A86" s="21" t="inlineStr">
        <is>
          <t>Fleet facility repaid</t>
        </is>
      </c>
      <c r="B86" t="inlineStr">
        <is>
          <t>$</t>
        </is>
      </c>
      <c r="C86" s="2" t="inlineStr">
        <is>
          <t>Last month's balance / months to repay</t>
        </is>
      </c>
      <c r="D86" s="23">
        <f>0</f>
        <v/>
      </c>
      <c r="E86" s="23">
        <f>D87/Inputs!$B$50</f>
        <v/>
      </c>
      <c r="F86" s="23">
        <f>E87/Inputs!$B$50</f>
        <v/>
      </c>
      <c r="G86" s="23">
        <f>F87/Inputs!$B$50</f>
        <v/>
      </c>
      <c r="H86" s="23">
        <f>G87/Inputs!$B$50</f>
        <v/>
      </c>
      <c r="I86" s="23">
        <f>H87/Inputs!$B$50</f>
        <v/>
      </c>
      <c r="J86" s="23">
        <f>I87/Inputs!$B$50</f>
        <v/>
      </c>
      <c r="K86" s="23">
        <f>J87/Inputs!$B$50</f>
        <v/>
      </c>
      <c r="L86" s="23">
        <f>K87/Inputs!$B$50</f>
        <v/>
      </c>
      <c r="M86" s="23">
        <f>L87/Inputs!$B$50</f>
        <v/>
      </c>
      <c r="N86" s="23">
        <f>M87/Inputs!$B$50</f>
        <v/>
      </c>
      <c r="O86" s="23">
        <f>N87/Inputs!$B$50</f>
        <v/>
      </c>
      <c r="P86" s="23">
        <f>O87/Inputs!$B$50</f>
        <v/>
      </c>
      <c r="Q86" s="23">
        <f>P87/Inputs!$B$50</f>
        <v/>
      </c>
      <c r="R86" s="23">
        <f>Q87/Inputs!$B$50</f>
        <v/>
      </c>
      <c r="S86" s="23">
        <f>R87/Inputs!$B$50</f>
        <v/>
      </c>
      <c r="T86" s="23">
        <f>S87/Inputs!$B$50</f>
        <v/>
      </c>
      <c r="U86" s="23">
        <f>T87/Inputs!$B$50</f>
        <v/>
      </c>
      <c r="V86" s="23">
        <f>U87/Inputs!$B$50</f>
        <v/>
      </c>
      <c r="W86" s="23">
        <f>V87/Inputs!$B$50</f>
        <v/>
      </c>
      <c r="X86" s="23">
        <f>W87/Inputs!$B$50</f>
        <v/>
      </c>
      <c r="Y86" s="23">
        <f>X87/Inputs!$B$50</f>
        <v/>
      </c>
      <c r="Z86" s="23">
        <f>Y87/Inputs!$B$50</f>
        <v/>
      </c>
      <c r="AA86" s="23">
        <f>Z87/Inputs!$B$50</f>
        <v/>
      </c>
      <c r="AB86" s="23">
        <f>AA87/Inputs!$B$50</f>
        <v/>
      </c>
      <c r="AC86" s="23">
        <f>AB87/Inputs!$B$50</f>
        <v/>
      </c>
      <c r="AD86" s="23">
        <f>AC87/Inputs!$B$50</f>
        <v/>
      </c>
      <c r="AE86" s="23">
        <f>AD87/Inputs!$B$50</f>
        <v/>
      </c>
      <c r="AF86" s="23">
        <f>AE87/Inputs!$B$50</f>
        <v/>
      </c>
      <c r="AG86" s="23">
        <f>AF87/Inputs!$B$50</f>
        <v/>
      </c>
      <c r="AH86" s="23">
        <f>AG87/Inputs!$B$50</f>
        <v/>
      </c>
      <c r="AI86" s="23">
        <f>AH87/Inputs!$B$50</f>
        <v/>
      </c>
      <c r="AJ86" s="23">
        <f>AI87/Inputs!$B$50</f>
        <v/>
      </c>
      <c r="AK86" s="23">
        <f>AJ87/Inputs!$B$50</f>
        <v/>
      </c>
      <c r="AL86" s="23">
        <f>AK87/Inputs!$B$50</f>
        <v/>
      </c>
      <c r="AM86" s="23">
        <f>AL87/Inputs!$B$50</f>
        <v/>
      </c>
    </row>
    <row r="87">
      <c r="A87" s="21" t="inlineStr">
        <is>
          <t>Fleet facility owed at month end</t>
        </is>
      </c>
      <c r="B87" t="inlineStr">
        <is>
          <t>$</t>
        </is>
      </c>
      <c r="C87" s="2" t="inlineStr">
        <is>
          <t>Last month + drawn - repaid</t>
        </is>
      </c>
      <c r="D87" s="23">
        <f>D85-D86</f>
        <v/>
      </c>
      <c r="E87" s="23">
        <f>D87+E85-E86</f>
        <v/>
      </c>
      <c r="F87" s="23">
        <f>E87+F85-F86</f>
        <v/>
      </c>
      <c r="G87" s="23">
        <f>F87+G85-G86</f>
        <v/>
      </c>
      <c r="H87" s="23">
        <f>G87+H85-H86</f>
        <v/>
      </c>
      <c r="I87" s="23">
        <f>H87+I85-I86</f>
        <v/>
      </c>
      <c r="J87" s="23">
        <f>I87+J85-J86</f>
        <v/>
      </c>
      <c r="K87" s="23">
        <f>J87+K85-K86</f>
        <v/>
      </c>
      <c r="L87" s="23">
        <f>K87+L85-L86</f>
        <v/>
      </c>
      <c r="M87" s="23">
        <f>L87+M85-M86</f>
        <v/>
      </c>
      <c r="N87" s="23">
        <f>M87+N85-N86</f>
        <v/>
      </c>
      <c r="O87" s="23">
        <f>N87+O85-O86</f>
        <v/>
      </c>
      <c r="P87" s="23">
        <f>O87+P85-P86</f>
        <v/>
      </c>
      <c r="Q87" s="23">
        <f>P87+Q85-Q86</f>
        <v/>
      </c>
      <c r="R87" s="23">
        <f>Q87+R85-R86</f>
        <v/>
      </c>
      <c r="S87" s="23">
        <f>R87+S85-S86</f>
        <v/>
      </c>
      <c r="T87" s="23">
        <f>S87+T85-T86</f>
        <v/>
      </c>
      <c r="U87" s="23">
        <f>T87+U85-U86</f>
        <v/>
      </c>
      <c r="V87" s="23">
        <f>U87+V85-V86</f>
        <v/>
      </c>
      <c r="W87" s="23">
        <f>V87+W85-W86</f>
        <v/>
      </c>
      <c r="X87" s="23">
        <f>W87+X85-X86</f>
        <v/>
      </c>
      <c r="Y87" s="23">
        <f>X87+Y85-Y86</f>
        <v/>
      </c>
      <c r="Z87" s="23">
        <f>Y87+Z85-Z86</f>
        <v/>
      </c>
      <c r="AA87" s="23">
        <f>Z87+AA85-AA86</f>
        <v/>
      </c>
      <c r="AB87" s="23">
        <f>AA87+AB85-AB86</f>
        <v/>
      </c>
      <c r="AC87" s="23">
        <f>AB87+AC85-AC86</f>
        <v/>
      </c>
      <c r="AD87" s="23">
        <f>AC87+AD85-AD86</f>
        <v/>
      </c>
      <c r="AE87" s="23">
        <f>AD87+AE85-AE86</f>
        <v/>
      </c>
      <c r="AF87" s="23">
        <f>AE87+AF85-AF86</f>
        <v/>
      </c>
      <c r="AG87" s="23">
        <f>AF87+AG85-AG86</f>
        <v/>
      </c>
      <c r="AH87" s="23">
        <f>AG87+AH85-AH86</f>
        <v/>
      </c>
      <c r="AI87" s="23">
        <f>AH87+AI85-AI86</f>
        <v/>
      </c>
      <c r="AJ87" s="23">
        <f>AI87+AJ85-AJ86</f>
        <v/>
      </c>
      <c r="AK87" s="23">
        <f>AJ87+AK85-AK86</f>
        <v/>
      </c>
      <c r="AL87" s="23">
        <f>AK87+AL85-AL86</f>
        <v/>
      </c>
      <c r="AM87" s="23">
        <f>AL87+AM85-AM86</f>
        <v/>
      </c>
    </row>
    <row r="88">
      <c r="A88" s="21" t="inlineStr">
        <is>
          <t>Equity raised</t>
        </is>
      </c>
      <c r="B88" t="inlineStr">
        <is>
          <t>$</t>
        </is>
      </c>
      <c r="C88" s="2" t="inlineStr">
        <is>
          <t>The next round, in its month</t>
        </is>
      </c>
      <c r="D88" s="23">
        <f>IF(D$30=Inputs!$B$10,Inputs!$B$9,0)</f>
        <v/>
      </c>
      <c r="E88" s="23">
        <f>IF(E$30=Inputs!$B$10,Inputs!$B$9,0)</f>
        <v/>
      </c>
      <c r="F88" s="23">
        <f>IF(F$30=Inputs!$B$10,Inputs!$B$9,0)</f>
        <v/>
      </c>
      <c r="G88" s="23">
        <f>IF(G$30=Inputs!$B$10,Inputs!$B$9,0)</f>
        <v/>
      </c>
      <c r="H88" s="23">
        <f>IF(H$30=Inputs!$B$10,Inputs!$B$9,0)</f>
        <v/>
      </c>
      <c r="I88" s="23">
        <f>IF(I$30=Inputs!$B$10,Inputs!$B$9,0)</f>
        <v/>
      </c>
      <c r="J88" s="23">
        <f>IF(J$30=Inputs!$B$10,Inputs!$B$9,0)</f>
        <v/>
      </c>
      <c r="K88" s="23">
        <f>IF(K$30=Inputs!$B$10,Inputs!$B$9,0)</f>
        <v/>
      </c>
      <c r="L88" s="23">
        <f>IF(L$30=Inputs!$B$10,Inputs!$B$9,0)</f>
        <v/>
      </c>
      <c r="M88" s="23">
        <f>IF(M$30=Inputs!$B$10,Inputs!$B$9,0)</f>
        <v/>
      </c>
      <c r="N88" s="23">
        <f>IF(N$30=Inputs!$B$10,Inputs!$B$9,0)</f>
        <v/>
      </c>
      <c r="O88" s="23">
        <f>IF(O$30=Inputs!$B$10,Inputs!$B$9,0)</f>
        <v/>
      </c>
      <c r="P88" s="23">
        <f>IF(P$30=Inputs!$B$10,Inputs!$B$9,0)</f>
        <v/>
      </c>
      <c r="Q88" s="23">
        <f>IF(Q$30=Inputs!$B$10,Inputs!$B$9,0)</f>
        <v/>
      </c>
      <c r="R88" s="23">
        <f>IF(R$30=Inputs!$B$10,Inputs!$B$9,0)</f>
        <v/>
      </c>
      <c r="S88" s="23">
        <f>IF(S$30=Inputs!$B$10,Inputs!$B$9,0)</f>
        <v/>
      </c>
      <c r="T88" s="23">
        <f>IF(T$30=Inputs!$B$10,Inputs!$B$9,0)</f>
        <v/>
      </c>
      <c r="U88" s="23">
        <f>IF(U$30=Inputs!$B$10,Inputs!$B$9,0)</f>
        <v/>
      </c>
      <c r="V88" s="23">
        <f>IF(V$30=Inputs!$B$10,Inputs!$B$9,0)</f>
        <v/>
      </c>
      <c r="W88" s="23">
        <f>IF(W$30=Inputs!$B$10,Inputs!$B$9,0)</f>
        <v/>
      </c>
      <c r="X88" s="23">
        <f>IF(X$30=Inputs!$B$10,Inputs!$B$9,0)</f>
        <v/>
      </c>
      <c r="Y88" s="23">
        <f>IF(Y$30=Inputs!$B$10,Inputs!$B$9,0)</f>
        <v/>
      </c>
      <c r="Z88" s="23">
        <f>IF(Z$30=Inputs!$B$10,Inputs!$B$9,0)</f>
        <v/>
      </c>
      <c r="AA88" s="23">
        <f>IF(AA$30=Inputs!$B$10,Inputs!$B$9,0)</f>
        <v/>
      </c>
      <c r="AB88" s="23">
        <f>IF(AB$30=Inputs!$B$10,Inputs!$B$9,0)</f>
        <v/>
      </c>
      <c r="AC88" s="23">
        <f>IF(AC$30=Inputs!$B$10,Inputs!$B$9,0)</f>
        <v/>
      </c>
      <c r="AD88" s="23">
        <f>IF(AD$30=Inputs!$B$10,Inputs!$B$9,0)</f>
        <v/>
      </c>
      <c r="AE88" s="23">
        <f>IF(AE$30=Inputs!$B$10,Inputs!$B$9,0)</f>
        <v/>
      </c>
      <c r="AF88" s="23">
        <f>IF(AF$30=Inputs!$B$10,Inputs!$B$9,0)</f>
        <v/>
      </c>
      <c r="AG88" s="23">
        <f>IF(AG$30=Inputs!$B$10,Inputs!$B$9,0)</f>
        <v/>
      </c>
      <c r="AH88" s="23">
        <f>IF(AH$30=Inputs!$B$10,Inputs!$B$9,0)</f>
        <v/>
      </c>
      <c r="AI88" s="23">
        <f>IF(AI$30=Inputs!$B$10,Inputs!$B$9,0)</f>
        <v/>
      </c>
      <c r="AJ88" s="23">
        <f>IF(AJ$30=Inputs!$B$10,Inputs!$B$9,0)</f>
        <v/>
      </c>
      <c r="AK88" s="23">
        <f>IF(AK$30=Inputs!$B$10,Inputs!$B$9,0)</f>
        <v/>
      </c>
      <c r="AL88" s="23">
        <f>IF(AL$30=Inputs!$B$10,Inputs!$B$9,0)</f>
        <v/>
      </c>
      <c r="AM88" s="23">
        <f>IF(AM$30=Inputs!$B$10,Inputs!$B$9,0)</f>
        <v/>
      </c>
    </row>
    <row r="89">
      <c r="A89" s="16" t="inlineStr">
        <is>
          <t>Net cash flow</t>
        </is>
      </c>
      <c r="B89" t="inlineStr">
        <is>
          <t>$</t>
        </is>
      </c>
      <c r="C89" s="2" t="inlineStr">
        <is>
          <t>Before financing + drawn - repaid - interest + equity</t>
        </is>
      </c>
      <c r="D89" s="31">
        <f>D83+D85-D86-D71+D88</f>
        <v/>
      </c>
      <c r="E89" s="31">
        <f>E83+E85-E86-E71+E88</f>
        <v/>
      </c>
      <c r="F89" s="31">
        <f>F83+F85-F86-F71+F88</f>
        <v/>
      </c>
      <c r="G89" s="31">
        <f>G83+G85-G86-G71+G88</f>
        <v/>
      </c>
      <c r="H89" s="31">
        <f>H83+H85-H86-H71+H88</f>
        <v/>
      </c>
      <c r="I89" s="31">
        <f>I83+I85-I86-I71+I88</f>
        <v/>
      </c>
      <c r="J89" s="31">
        <f>J83+J85-J86-J71+J88</f>
        <v/>
      </c>
      <c r="K89" s="31">
        <f>K83+K85-K86-K71+K88</f>
        <v/>
      </c>
      <c r="L89" s="31">
        <f>L83+L85-L86-L71+L88</f>
        <v/>
      </c>
      <c r="M89" s="31">
        <f>M83+M85-M86-M71+M88</f>
        <v/>
      </c>
      <c r="N89" s="31">
        <f>N83+N85-N86-N71+N88</f>
        <v/>
      </c>
      <c r="O89" s="31">
        <f>O83+O85-O86-O71+O88</f>
        <v/>
      </c>
      <c r="P89" s="31">
        <f>P83+P85-P86-P71+P88</f>
        <v/>
      </c>
      <c r="Q89" s="31">
        <f>Q83+Q85-Q86-Q71+Q88</f>
        <v/>
      </c>
      <c r="R89" s="31">
        <f>R83+R85-R86-R71+R88</f>
        <v/>
      </c>
      <c r="S89" s="31">
        <f>S83+S85-S86-S71+S88</f>
        <v/>
      </c>
      <c r="T89" s="31">
        <f>T83+T85-T86-T71+T88</f>
        <v/>
      </c>
      <c r="U89" s="31">
        <f>U83+U85-U86-U71+U88</f>
        <v/>
      </c>
      <c r="V89" s="31">
        <f>V83+V85-V86-V71+V88</f>
        <v/>
      </c>
      <c r="W89" s="31">
        <f>W83+W85-W86-W71+W88</f>
        <v/>
      </c>
      <c r="X89" s="31">
        <f>X83+X85-X86-X71+X88</f>
        <v/>
      </c>
      <c r="Y89" s="31">
        <f>Y83+Y85-Y86-Y71+Y88</f>
        <v/>
      </c>
      <c r="Z89" s="31">
        <f>Z83+Z85-Z86-Z71+Z88</f>
        <v/>
      </c>
      <c r="AA89" s="31">
        <f>AA83+AA85-AA86-AA71+AA88</f>
        <v/>
      </c>
      <c r="AB89" s="31">
        <f>AB83+AB85-AB86-AB71+AB88</f>
        <v/>
      </c>
      <c r="AC89" s="31">
        <f>AC83+AC85-AC86-AC71+AC88</f>
        <v/>
      </c>
      <c r="AD89" s="31">
        <f>AD83+AD85-AD86-AD71+AD88</f>
        <v/>
      </c>
      <c r="AE89" s="31">
        <f>AE83+AE85-AE86-AE71+AE88</f>
        <v/>
      </c>
      <c r="AF89" s="31">
        <f>AF83+AF85-AF86-AF71+AF88</f>
        <v/>
      </c>
      <c r="AG89" s="31">
        <f>AG83+AG85-AG86-AG71+AG88</f>
        <v/>
      </c>
      <c r="AH89" s="31">
        <f>AH83+AH85-AH86-AH71+AH88</f>
        <v/>
      </c>
      <c r="AI89" s="31">
        <f>AI83+AI85-AI86-AI71+AI88</f>
        <v/>
      </c>
      <c r="AJ89" s="31">
        <f>AJ83+AJ85-AJ86-AJ71+AJ88</f>
        <v/>
      </c>
      <c r="AK89" s="31">
        <f>AK83+AK85-AK86-AK71+AK88</f>
        <v/>
      </c>
      <c r="AL89" s="31">
        <f>AL83+AL85-AL86-AL71+AL88</f>
        <v/>
      </c>
      <c r="AM89" s="31">
        <f>AM83+AM85-AM86-AM71+AM88</f>
        <v/>
      </c>
    </row>
    <row r="90">
      <c r="A90" s="21" t="inlineStr">
        <is>
          <t>Cash at start of month</t>
        </is>
      </c>
      <c r="B90" t="inlineStr">
        <is>
          <t>$</t>
        </is>
      </c>
      <c r="C90" s="2" t="inlineStr">
        <is>
          <t>Last month's closing cash</t>
        </is>
      </c>
      <c r="D90" s="23">
        <f>Inputs!$B$8</f>
        <v/>
      </c>
      <c r="E90" s="23">
        <f>D91</f>
        <v/>
      </c>
      <c r="F90" s="23">
        <f>E91</f>
        <v/>
      </c>
      <c r="G90" s="23">
        <f>F91</f>
        <v/>
      </c>
      <c r="H90" s="23">
        <f>G91</f>
        <v/>
      </c>
      <c r="I90" s="23">
        <f>H91</f>
        <v/>
      </c>
      <c r="J90" s="23">
        <f>I91</f>
        <v/>
      </c>
      <c r="K90" s="23">
        <f>J91</f>
        <v/>
      </c>
      <c r="L90" s="23">
        <f>K91</f>
        <v/>
      </c>
      <c r="M90" s="23">
        <f>L91</f>
        <v/>
      </c>
      <c r="N90" s="23">
        <f>M91</f>
        <v/>
      </c>
      <c r="O90" s="23">
        <f>N91</f>
        <v/>
      </c>
      <c r="P90" s="23">
        <f>O91</f>
        <v/>
      </c>
      <c r="Q90" s="23">
        <f>P91</f>
        <v/>
      </c>
      <c r="R90" s="23">
        <f>Q91</f>
        <v/>
      </c>
      <c r="S90" s="23">
        <f>R91</f>
        <v/>
      </c>
      <c r="T90" s="23">
        <f>S91</f>
        <v/>
      </c>
      <c r="U90" s="23">
        <f>T91</f>
        <v/>
      </c>
      <c r="V90" s="23">
        <f>U91</f>
        <v/>
      </c>
      <c r="W90" s="23">
        <f>V91</f>
        <v/>
      </c>
      <c r="X90" s="23">
        <f>W91</f>
        <v/>
      </c>
      <c r="Y90" s="23">
        <f>X91</f>
        <v/>
      </c>
      <c r="Z90" s="23">
        <f>Y91</f>
        <v/>
      </c>
      <c r="AA90" s="23">
        <f>Z91</f>
        <v/>
      </c>
      <c r="AB90" s="23">
        <f>AA91</f>
        <v/>
      </c>
      <c r="AC90" s="23">
        <f>AB91</f>
        <v/>
      </c>
      <c r="AD90" s="23">
        <f>AC91</f>
        <v/>
      </c>
      <c r="AE90" s="23">
        <f>AD91</f>
        <v/>
      </c>
      <c r="AF90" s="23">
        <f>AE91</f>
        <v/>
      </c>
      <c r="AG90" s="23">
        <f>AF91</f>
        <v/>
      </c>
      <c r="AH90" s="23">
        <f>AG91</f>
        <v/>
      </c>
      <c r="AI90" s="23">
        <f>AH91</f>
        <v/>
      </c>
      <c r="AJ90" s="23">
        <f>AI91</f>
        <v/>
      </c>
      <c r="AK90" s="23">
        <f>AJ91</f>
        <v/>
      </c>
      <c r="AL90" s="23">
        <f>AK91</f>
        <v/>
      </c>
      <c r="AM90" s="23">
        <f>AL91</f>
        <v/>
      </c>
    </row>
    <row r="91">
      <c r="A91" s="16" t="inlineStr">
        <is>
          <t>Cash at end of month</t>
        </is>
      </c>
      <c r="B91" t="inlineStr">
        <is>
          <t>$</t>
        </is>
      </c>
      <c r="C91" s="2" t="inlineStr">
        <is>
          <t>Start + net cash flow</t>
        </is>
      </c>
      <c r="D91" s="31">
        <f>D90+D89</f>
        <v/>
      </c>
      <c r="E91" s="31">
        <f>E90+E89</f>
        <v/>
      </c>
      <c r="F91" s="31">
        <f>F90+F89</f>
        <v/>
      </c>
      <c r="G91" s="31">
        <f>G90+G89</f>
        <v/>
      </c>
      <c r="H91" s="31">
        <f>H90+H89</f>
        <v/>
      </c>
      <c r="I91" s="31">
        <f>I90+I89</f>
        <v/>
      </c>
      <c r="J91" s="31">
        <f>J90+J89</f>
        <v/>
      </c>
      <c r="K91" s="31">
        <f>K90+K89</f>
        <v/>
      </c>
      <c r="L91" s="31">
        <f>L90+L89</f>
        <v/>
      </c>
      <c r="M91" s="31">
        <f>M90+M89</f>
        <v/>
      </c>
      <c r="N91" s="31">
        <f>N90+N89</f>
        <v/>
      </c>
      <c r="O91" s="31">
        <f>O90+O89</f>
        <v/>
      </c>
      <c r="P91" s="31">
        <f>P90+P89</f>
        <v/>
      </c>
      <c r="Q91" s="31">
        <f>Q90+Q89</f>
        <v/>
      </c>
      <c r="R91" s="31">
        <f>R90+R89</f>
        <v/>
      </c>
      <c r="S91" s="31">
        <f>S90+S89</f>
        <v/>
      </c>
      <c r="T91" s="31">
        <f>T90+T89</f>
        <v/>
      </c>
      <c r="U91" s="31">
        <f>U90+U89</f>
        <v/>
      </c>
      <c r="V91" s="31">
        <f>V90+V89</f>
        <v/>
      </c>
      <c r="W91" s="31">
        <f>W90+W89</f>
        <v/>
      </c>
      <c r="X91" s="31">
        <f>X90+X89</f>
        <v/>
      </c>
      <c r="Y91" s="31">
        <f>Y90+Y89</f>
        <v/>
      </c>
      <c r="Z91" s="31">
        <f>Z90+Z89</f>
        <v/>
      </c>
      <c r="AA91" s="31">
        <f>AA90+AA89</f>
        <v/>
      </c>
      <c r="AB91" s="31">
        <f>AB90+AB89</f>
        <v/>
      </c>
      <c r="AC91" s="31">
        <f>AC90+AC89</f>
        <v/>
      </c>
      <c r="AD91" s="31">
        <f>AD90+AD89</f>
        <v/>
      </c>
      <c r="AE91" s="31">
        <f>AE90+AE89</f>
        <v/>
      </c>
      <c r="AF91" s="31">
        <f>AF90+AF89</f>
        <v/>
      </c>
      <c r="AG91" s="31">
        <f>AG90+AG89</f>
        <v/>
      </c>
      <c r="AH91" s="31">
        <f>AH90+AH89</f>
        <v/>
      </c>
      <c r="AI91" s="31">
        <f>AI90+AI89</f>
        <v/>
      </c>
      <c r="AJ91" s="31">
        <f>AJ90+AJ89</f>
        <v/>
      </c>
      <c r="AK91" s="31">
        <f>AK90+AK89</f>
        <v/>
      </c>
      <c r="AL91" s="31">
        <f>AL90+AL89</f>
        <v/>
      </c>
      <c r="AM91" s="31">
        <f>AM90+AM89</f>
        <v/>
      </c>
    </row>
    <row r="92">
      <c r="A92" s="4" t="inlineStr">
        <is>
          <t>Working capital</t>
        </is>
      </c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  <c r="Y92" s="5" t="n"/>
      <c r="Z92" s="5" t="n"/>
      <c r="AA92" s="5" t="n"/>
      <c r="AB92" s="5" t="n"/>
      <c r="AC92" s="5" t="n"/>
      <c r="AD92" s="5" t="n"/>
      <c r="AE92" s="5" t="n"/>
      <c r="AF92" s="5" t="n"/>
      <c r="AG92" s="5" t="n"/>
      <c r="AH92" s="5" t="n"/>
      <c r="AI92" s="5" t="n"/>
      <c r="AJ92" s="5" t="n"/>
      <c r="AK92" s="5" t="n"/>
      <c r="AL92" s="5" t="n"/>
      <c r="AM92" s="5" t="n"/>
    </row>
    <row r="93">
      <c r="A93" s="21" t="inlineStr">
        <is>
          <t>Money customers owe you</t>
        </is>
      </c>
      <c r="B93" t="inlineStr">
        <is>
          <t>$</t>
        </is>
      </c>
      <c r="C93" s="2" t="inlineStr">
        <is>
          <t>Balances on robots delivered but not yet paid for</t>
        </is>
      </c>
      <c r="D93" s="23">
        <f>SUMPRODUCT(($D$30:$AM$30&gt;D$30-Inputs!$B$33)*($D$30:$AM$30&lt;=D$30)*$D$36:$AM$36)*Inputs!$B$18*(1-Inputs!$B$32)</f>
        <v/>
      </c>
      <c r="E93" s="23">
        <f>SUMPRODUCT(($D$30:$AM$30&gt;E$30-Inputs!$B$33)*($D$30:$AM$30&lt;=E$30)*$D$36:$AM$36)*Inputs!$B$18*(1-Inputs!$B$32)</f>
        <v/>
      </c>
      <c r="F93" s="23">
        <f>SUMPRODUCT(($D$30:$AM$30&gt;F$30-Inputs!$B$33)*($D$30:$AM$30&lt;=F$30)*$D$36:$AM$36)*Inputs!$B$18*(1-Inputs!$B$32)</f>
        <v/>
      </c>
      <c r="G93" s="23">
        <f>SUMPRODUCT(($D$30:$AM$30&gt;G$30-Inputs!$B$33)*($D$30:$AM$30&lt;=G$30)*$D$36:$AM$36)*Inputs!$B$18*(1-Inputs!$B$32)</f>
        <v/>
      </c>
      <c r="H93" s="23">
        <f>SUMPRODUCT(($D$30:$AM$30&gt;H$30-Inputs!$B$33)*($D$30:$AM$30&lt;=H$30)*$D$36:$AM$36)*Inputs!$B$18*(1-Inputs!$B$32)</f>
        <v/>
      </c>
      <c r="I93" s="23">
        <f>SUMPRODUCT(($D$30:$AM$30&gt;I$30-Inputs!$B$33)*($D$30:$AM$30&lt;=I$30)*$D$36:$AM$36)*Inputs!$B$18*(1-Inputs!$B$32)</f>
        <v/>
      </c>
      <c r="J93" s="23">
        <f>SUMPRODUCT(($D$30:$AM$30&gt;J$30-Inputs!$B$33)*($D$30:$AM$30&lt;=J$30)*$D$36:$AM$36)*Inputs!$B$18*(1-Inputs!$B$32)</f>
        <v/>
      </c>
      <c r="K93" s="23">
        <f>SUMPRODUCT(($D$30:$AM$30&gt;K$30-Inputs!$B$33)*($D$30:$AM$30&lt;=K$30)*$D$36:$AM$36)*Inputs!$B$18*(1-Inputs!$B$32)</f>
        <v/>
      </c>
      <c r="L93" s="23">
        <f>SUMPRODUCT(($D$30:$AM$30&gt;L$30-Inputs!$B$33)*($D$30:$AM$30&lt;=L$30)*$D$36:$AM$36)*Inputs!$B$18*(1-Inputs!$B$32)</f>
        <v/>
      </c>
      <c r="M93" s="23">
        <f>SUMPRODUCT(($D$30:$AM$30&gt;M$30-Inputs!$B$33)*($D$30:$AM$30&lt;=M$30)*$D$36:$AM$36)*Inputs!$B$18*(1-Inputs!$B$32)</f>
        <v/>
      </c>
      <c r="N93" s="23">
        <f>SUMPRODUCT(($D$30:$AM$30&gt;N$30-Inputs!$B$33)*($D$30:$AM$30&lt;=N$30)*$D$36:$AM$36)*Inputs!$B$18*(1-Inputs!$B$32)</f>
        <v/>
      </c>
      <c r="O93" s="23">
        <f>SUMPRODUCT(($D$30:$AM$30&gt;O$30-Inputs!$B$33)*($D$30:$AM$30&lt;=O$30)*$D$36:$AM$36)*Inputs!$B$18*(1-Inputs!$B$32)</f>
        <v/>
      </c>
      <c r="P93" s="23">
        <f>SUMPRODUCT(($D$30:$AM$30&gt;P$30-Inputs!$B$33)*($D$30:$AM$30&lt;=P$30)*$D$36:$AM$36)*Inputs!$B$18*(1-Inputs!$B$32)</f>
        <v/>
      </c>
      <c r="Q93" s="23">
        <f>SUMPRODUCT(($D$30:$AM$30&gt;Q$30-Inputs!$B$33)*($D$30:$AM$30&lt;=Q$30)*$D$36:$AM$36)*Inputs!$B$18*(1-Inputs!$B$32)</f>
        <v/>
      </c>
      <c r="R93" s="23">
        <f>SUMPRODUCT(($D$30:$AM$30&gt;R$30-Inputs!$B$33)*($D$30:$AM$30&lt;=R$30)*$D$36:$AM$36)*Inputs!$B$18*(1-Inputs!$B$32)</f>
        <v/>
      </c>
      <c r="S93" s="23">
        <f>SUMPRODUCT(($D$30:$AM$30&gt;S$30-Inputs!$B$33)*($D$30:$AM$30&lt;=S$30)*$D$36:$AM$36)*Inputs!$B$18*(1-Inputs!$B$32)</f>
        <v/>
      </c>
      <c r="T93" s="23">
        <f>SUMPRODUCT(($D$30:$AM$30&gt;T$30-Inputs!$B$33)*($D$30:$AM$30&lt;=T$30)*$D$36:$AM$36)*Inputs!$B$18*(1-Inputs!$B$32)</f>
        <v/>
      </c>
      <c r="U93" s="23">
        <f>SUMPRODUCT(($D$30:$AM$30&gt;U$30-Inputs!$B$33)*($D$30:$AM$30&lt;=U$30)*$D$36:$AM$36)*Inputs!$B$18*(1-Inputs!$B$32)</f>
        <v/>
      </c>
      <c r="V93" s="23">
        <f>SUMPRODUCT(($D$30:$AM$30&gt;V$30-Inputs!$B$33)*($D$30:$AM$30&lt;=V$30)*$D$36:$AM$36)*Inputs!$B$18*(1-Inputs!$B$32)</f>
        <v/>
      </c>
      <c r="W93" s="23">
        <f>SUMPRODUCT(($D$30:$AM$30&gt;W$30-Inputs!$B$33)*($D$30:$AM$30&lt;=W$30)*$D$36:$AM$36)*Inputs!$B$18*(1-Inputs!$B$32)</f>
        <v/>
      </c>
      <c r="X93" s="23">
        <f>SUMPRODUCT(($D$30:$AM$30&gt;X$30-Inputs!$B$33)*($D$30:$AM$30&lt;=X$30)*$D$36:$AM$36)*Inputs!$B$18*(1-Inputs!$B$32)</f>
        <v/>
      </c>
      <c r="Y93" s="23">
        <f>SUMPRODUCT(($D$30:$AM$30&gt;Y$30-Inputs!$B$33)*($D$30:$AM$30&lt;=Y$30)*$D$36:$AM$36)*Inputs!$B$18*(1-Inputs!$B$32)</f>
        <v/>
      </c>
      <c r="Z93" s="23">
        <f>SUMPRODUCT(($D$30:$AM$30&gt;Z$30-Inputs!$B$33)*($D$30:$AM$30&lt;=Z$30)*$D$36:$AM$36)*Inputs!$B$18*(1-Inputs!$B$32)</f>
        <v/>
      </c>
      <c r="AA93" s="23">
        <f>SUMPRODUCT(($D$30:$AM$30&gt;AA$30-Inputs!$B$33)*($D$30:$AM$30&lt;=AA$30)*$D$36:$AM$36)*Inputs!$B$18*(1-Inputs!$B$32)</f>
        <v/>
      </c>
      <c r="AB93" s="23">
        <f>SUMPRODUCT(($D$30:$AM$30&gt;AB$30-Inputs!$B$33)*($D$30:$AM$30&lt;=AB$30)*$D$36:$AM$36)*Inputs!$B$18*(1-Inputs!$B$32)</f>
        <v/>
      </c>
      <c r="AC93" s="23">
        <f>SUMPRODUCT(($D$30:$AM$30&gt;AC$30-Inputs!$B$33)*($D$30:$AM$30&lt;=AC$30)*$D$36:$AM$36)*Inputs!$B$18*(1-Inputs!$B$32)</f>
        <v/>
      </c>
      <c r="AD93" s="23">
        <f>SUMPRODUCT(($D$30:$AM$30&gt;AD$30-Inputs!$B$33)*($D$30:$AM$30&lt;=AD$30)*$D$36:$AM$36)*Inputs!$B$18*(1-Inputs!$B$32)</f>
        <v/>
      </c>
      <c r="AE93" s="23">
        <f>SUMPRODUCT(($D$30:$AM$30&gt;AE$30-Inputs!$B$33)*($D$30:$AM$30&lt;=AE$30)*$D$36:$AM$36)*Inputs!$B$18*(1-Inputs!$B$32)</f>
        <v/>
      </c>
      <c r="AF93" s="23">
        <f>SUMPRODUCT(($D$30:$AM$30&gt;AF$30-Inputs!$B$33)*($D$30:$AM$30&lt;=AF$30)*$D$36:$AM$36)*Inputs!$B$18*(1-Inputs!$B$32)</f>
        <v/>
      </c>
      <c r="AG93" s="23">
        <f>SUMPRODUCT(($D$30:$AM$30&gt;AG$30-Inputs!$B$33)*($D$30:$AM$30&lt;=AG$30)*$D$36:$AM$36)*Inputs!$B$18*(1-Inputs!$B$32)</f>
        <v/>
      </c>
      <c r="AH93" s="23">
        <f>SUMPRODUCT(($D$30:$AM$30&gt;AH$30-Inputs!$B$33)*($D$30:$AM$30&lt;=AH$30)*$D$36:$AM$36)*Inputs!$B$18*(1-Inputs!$B$32)</f>
        <v/>
      </c>
      <c r="AI93" s="23">
        <f>SUMPRODUCT(($D$30:$AM$30&gt;AI$30-Inputs!$B$33)*($D$30:$AM$30&lt;=AI$30)*$D$36:$AM$36)*Inputs!$B$18*(1-Inputs!$B$32)</f>
        <v/>
      </c>
      <c r="AJ93" s="23">
        <f>SUMPRODUCT(($D$30:$AM$30&gt;AJ$30-Inputs!$B$33)*($D$30:$AM$30&lt;=AJ$30)*$D$36:$AM$36)*Inputs!$B$18*(1-Inputs!$B$32)</f>
        <v/>
      </c>
      <c r="AK93" s="23">
        <f>SUMPRODUCT(($D$30:$AM$30&gt;AK$30-Inputs!$B$33)*($D$30:$AM$30&lt;=AK$30)*$D$36:$AM$36)*Inputs!$B$18*(1-Inputs!$B$32)</f>
        <v/>
      </c>
      <c r="AL93" s="23">
        <f>SUMPRODUCT(($D$30:$AM$30&gt;AL$30-Inputs!$B$33)*($D$30:$AM$30&lt;=AL$30)*$D$36:$AM$36)*Inputs!$B$18*(1-Inputs!$B$32)</f>
        <v/>
      </c>
      <c r="AM93" s="23">
        <f>SUMPRODUCT(($D$30:$AM$30&gt;AM$30-Inputs!$B$33)*($D$30:$AM$30&lt;=AM$30)*$D$36:$AM$36)*Inputs!$B$18*(1-Inputs!$B$32)</f>
        <v/>
      </c>
    </row>
    <row r="94">
      <c r="A94" s="21" t="inlineStr">
        <is>
          <t>Value of robots in stock</t>
        </is>
      </c>
      <c r="B94" t="inlineStr">
        <is>
          <t>$</t>
        </is>
      </c>
      <c r="C94" s="2" t="inlineStr">
        <is>
          <t>Robots in stock x this month's build cost</t>
        </is>
      </c>
      <c r="D94" s="23">
        <f>D41*D47</f>
        <v/>
      </c>
      <c r="E94" s="23">
        <f>E41*E47</f>
        <v/>
      </c>
      <c r="F94" s="23">
        <f>F41*F47</f>
        <v/>
      </c>
      <c r="G94" s="23">
        <f>G41*G47</f>
        <v/>
      </c>
      <c r="H94" s="23">
        <f>H41*H47</f>
        <v/>
      </c>
      <c r="I94" s="23">
        <f>I41*I47</f>
        <v/>
      </c>
      <c r="J94" s="23">
        <f>J41*J47</f>
        <v/>
      </c>
      <c r="K94" s="23">
        <f>K41*K47</f>
        <v/>
      </c>
      <c r="L94" s="23">
        <f>L41*L47</f>
        <v/>
      </c>
      <c r="M94" s="23">
        <f>M41*M47</f>
        <v/>
      </c>
      <c r="N94" s="23">
        <f>N41*N47</f>
        <v/>
      </c>
      <c r="O94" s="23">
        <f>O41*O47</f>
        <v/>
      </c>
      <c r="P94" s="23">
        <f>P41*P47</f>
        <v/>
      </c>
      <c r="Q94" s="23">
        <f>Q41*Q47</f>
        <v/>
      </c>
      <c r="R94" s="23">
        <f>R41*R47</f>
        <v/>
      </c>
      <c r="S94" s="23">
        <f>S41*S47</f>
        <v/>
      </c>
      <c r="T94" s="23">
        <f>T41*T47</f>
        <v/>
      </c>
      <c r="U94" s="23">
        <f>U41*U47</f>
        <v/>
      </c>
      <c r="V94" s="23">
        <f>V41*V47</f>
        <v/>
      </c>
      <c r="W94" s="23">
        <f>W41*W47</f>
        <v/>
      </c>
      <c r="X94" s="23">
        <f>X41*X47</f>
        <v/>
      </c>
      <c r="Y94" s="23">
        <f>Y41*Y47</f>
        <v/>
      </c>
      <c r="Z94" s="23">
        <f>Z41*Z47</f>
        <v/>
      </c>
      <c r="AA94" s="23">
        <f>AA41*AA47</f>
        <v/>
      </c>
      <c r="AB94" s="23">
        <f>AB41*AB47</f>
        <v/>
      </c>
      <c r="AC94" s="23">
        <f>AC41*AC47</f>
        <v/>
      </c>
      <c r="AD94" s="23">
        <f>AD41*AD47</f>
        <v/>
      </c>
      <c r="AE94" s="23">
        <f>AE41*AE47</f>
        <v/>
      </c>
      <c r="AF94" s="23">
        <f>AF41*AF47</f>
        <v/>
      </c>
      <c r="AG94" s="23">
        <f>AG41*AG47</f>
        <v/>
      </c>
      <c r="AH94" s="23">
        <f>AH41*AH47</f>
        <v/>
      </c>
      <c r="AI94" s="23">
        <f>AI41*AI47</f>
        <v/>
      </c>
      <c r="AJ94" s="23">
        <f>AJ41*AJ47</f>
        <v/>
      </c>
      <c r="AK94" s="23">
        <f>AK41*AK47</f>
        <v/>
      </c>
      <c r="AL94" s="23">
        <f>AL41*AL47</f>
        <v/>
      </c>
      <c r="AM94" s="23">
        <f>AM41*AM47</f>
        <v/>
      </c>
    </row>
    <row r="95">
      <c r="A95" s="4" t="inlineStr">
        <is>
          <t>Checks</t>
        </is>
      </c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  <c r="Y95" s="5" t="n"/>
      <c r="Z95" s="5" t="n"/>
      <c r="AA95" s="5" t="n"/>
      <c r="AB95" s="5" t="n"/>
      <c r="AC95" s="5" t="n"/>
      <c r="AD95" s="5" t="n"/>
      <c r="AE95" s="5" t="n"/>
      <c r="AF95" s="5" t="n"/>
      <c r="AG95" s="5" t="n"/>
      <c r="AH95" s="5" t="n"/>
      <c r="AI95" s="5" t="n"/>
      <c r="AJ95" s="5" t="n"/>
      <c r="AK95" s="5" t="n"/>
      <c r="AL95" s="5" t="n"/>
      <c r="AM95" s="5" t="n"/>
    </row>
    <row r="96">
      <c r="A96" s="21" t="inlineStr">
        <is>
          <t>Cash below zero? (1 = yes)</t>
        </is>
      </c>
      <c r="B96" t="inlineStr">
        <is>
          <t>1 = yes</t>
        </is>
      </c>
      <c r="C96" s="2" t="inlineStr">
        <is>
          <t>Flags the months you would run out</t>
        </is>
      </c>
      <c r="D96" s="28">
        <f>IF(D91&lt;0,1,0)</f>
        <v/>
      </c>
      <c r="E96" s="28">
        <f>IF(E91&lt;0,1,0)</f>
        <v/>
      </c>
      <c r="F96" s="28">
        <f>IF(F91&lt;0,1,0)</f>
        <v/>
      </c>
      <c r="G96" s="28">
        <f>IF(G91&lt;0,1,0)</f>
        <v/>
      </c>
      <c r="H96" s="28">
        <f>IF(H91&lt;0,1,0)</f>
        <v/>
      </c>
      <c r="I96" s="28">
        <f>IF(I91&lt;0,1,0)</f>
        <v/>
      </c>
      <c r="J96" s="28">
        <f>IF(J91&lt;0,1,0)</f>
        <v/>
      </c>
      <c r="K96" s="28">
        <f>IF(K91&lt;0,1,0)</f>
        <v/>
      </c>
      <c r="L96" s="28">
        <f>IF(L91&lt;0,1,0)</f>
        <v/>
      </c>
      <c r="M96" s="28">
        <f>IF(M91&lt;0,1,0)</f>
        <v/>
      </c>
      <c r="N96" s="28">
        <f>IF(N91&lt;0,1,0)</f>
        <v/>
      </c>
      <c r="O96" s="28">
        <f>IF(O91&lt;0,1,0)</f>
        <v/>
      </c>
      <c r="P96" s="28">
        <f>IF(P91&lt;0,1,0)</f>
        <v/>
      </c>
      <c r="Q96" s="28">
        <f>IF(Q91&lt;0,1,0)</f>
        <v/>
      </c>
      <c r="R96" s="28">
        <f>IF(R91&lt;0,1,0)</f>
        <v/>
      </c>
      <c r="S96" s="28">
        <f>IF(S91&lt;0,1,0)</f>
        <v/>
      </c>
      <c r="T96" s="28">
        <f>IF(T91&lt;0,1,0)</f>
        <v/>
      </c>
      <c r="U96" s="28">
        <f>IF(U91&lt;0,1,0)</f>
        <v/>
      </c>
      <c r="V96" s="28">
        <f>IF(V91&lt;0,1,0)</f>
        <v/>
      </c>
      <c r="W96" s="28">
        <f>IF(W91&lt;0,1,0)</f>
        <v/>
      </c>
      <c r="X96" s="28">
        <f>IF(X91&lt;0,1,0)</f>
        <v/>
      </c>
      <c r="Y96" s="28">
        <f>IF(Y91&lt;0,1,0)</f>
        <v/>
      </c>
      <c r="Z96" s="28">
        <f>IF(Z91&lt;0,1,0)</f>
        <v/>
      </c>
      <c r="AA96" s="28">
        <f>IF(AA91&lt;0,1,0)</f>
        <v/>
      </c>
      <c r="AB96" s="28">
        <f>IF(AB91&lt;0,1,0)</f>
        <v/>
      </c>
      <c r="AC96" s="28">
        <f>IF(AC91&lt;0,1,0)</f>
        <v/>
      </c>
      <c r="AD96" s="28">
        <f>IF(AD91&lt;0,1,0)</f>
        <v/>
      </c>
      <c r="AE96" s="28">
        <f>IF(AE91&lt;0,1,0)</f>
        <v/>
      </c>
      <c r="AF96" s="28">
        <f>IF(AF91&lt;0,1,0)</f>
        <v/>
      </c>
      <c r="AG96" s="28">
        <f>IF(AG91&lt;0,1,0)</f>
        <v/>
      </c>
      <c r="AH96" s="28">
        <f>IF(AH91&lt;0,1,0)</f>
        <v/>
      </c>
      <c r="AI96" s="28">
        <f>IF(AI91&lt;0,1,0)</f>
        <v/>
      </c>
      <c r="AJ96" s="28">
        <f>IF(AJ91&lt;0,1,0)</f>
        <v/>
      </c>
      <c r="AK96" s="28">
        <f>IF(AK91&lt;0,1,0)</f>
        <v/>
      </c>
      <c r="AL96" s="28">
        <f>IF(AL91&lt;0,1,0)</f>
        <v/>
      </c>
      <c r="AM96" s="28">
        <f>IF(AM91&lt;0,1,0)</f>
        <v/>
      </c>
    </row>
    <row r="97">
      <c r="A97" s="21" t="inlineStr">
        <is>
          <t>Milestone reached? (1 = yes)</t>
        </is>
      </c>
      <c r="B97" t="inlineStr">
        <is>
          <t>1 = yes</t>
        </is>
      </c>
      <c r="C97" s="2" t="inlineStr">
        <is>
          <t>Robots delivered to date &gt;= milestone</t>
        </is>
      </c>
      <c r="D97" s="28">
        <f>IF(D37&gt;=Inputs!$B$11,1,0)</f>
        <v/>
      </c>
      <c r="E97" s="28">
        <f>IF(E37&gt;=Inputs!$B$11,1,0)</f>
        <v/>
      </c>
      <c r="F97" s="28">
        <f>IF(F37&gt;=Inputs!$B$11,1,0)</f>
        <v/>
      </c>
      <c r="G97" s="28">
        <f>IF(G37&gt;=Inputs!$B$11,1,0)</f>
        <v/>
      </c>
      <c r="H97" s="28">
        <f>IF(H37&gt;=Inputs!$B$11,1,0)</f>
        <v/>
      </c>
      <c r="I97" s="28">
        <f>IF(I37&gt;=Inputs!$B$11,1,0)</f>
        <v/>
      </c>
      <c r="J97" s="28">
        <f>IF(J37&gt;=Inputs!$B$11,1,0)</f>
        <v/>
      </c>
      <c r="K97" s="28">
        <f>IF(K37&gt;=Inputs!$B$11,1,0)</f>
        <v/>
      </c>
      <c r="L97" s="28">
        <f>IF(L37&gt;=Inputs!$B$11,1,0)</f>
        <v/>
      </c>
      <c r="M97" s="28">
        <f>IF(M37&gt;=Inputs!$B$11,1,0)</f>
        <v/>
      </c>
      <c r="N97" s="28">
        <f>IF(N37&gt;=Inputs!$B$11,1,0)</f>
        <v/>
      </c>
      <c r="O97" s="28">
        <f>IF(O37&gt;=Inputs!$B$11,1,0)</f>
        <v/>
      </c>
      <c r="P97" s="28">
        <f>IF(P37&gt;=Inputs!$B$11,1,0)</f>
        <v/>
      </c>
      <c r="Q97" s="28">
        <f>IF(Q37&gt;=Inputs!$B$11,1,0)</f>
        <v/>
      </c>
      <c r="R97" s="28">
        <f>IF(R37&gt;=Inputs!$B$11,1,0)</f>
        <v/>
      </c>
      <c r="S97" s="28">
        <f>IF(S37&gt;=Inputs!$B$11,1,0)</f>
        <v/>
      </c>
      <c r="T97" s="28">
        <f>IF(T37&gt;=Inputs!$B$11,1,0)</f>
        <v/>
      </c>
      <c r="U97" s="28">
        <f>IF(U37&gt;=Inputs!$B$11,1,0)</f>
        <v/>
      </c>
      <c r="V97" s="28">
        <f>IF(V37&gt;=Inputs!$B$11,1,0)</f>
        <v/>
      </c>
      <c r="W97" s="28">
        <f>IF(W37&gt;=Inputs!$B$11,1,0)</f>
        <v/>
      </c>
      <c r="X97" s="28">
        <f>IF(X37&gt;=Inputs!$B$11,1,0)</f>
        <v/>
      </c>
      <c r="Y97" s="28">
        <f>IF(Y37&gt;=Inputs!$B$11,1,0)</f>
        <v/>
      </c>
      <c r="Z97" s="28">
        <f>IF(Z37&gt;=Inputs!$B$11,1,0)</f>
        <v/>
      </c>
      <c r="AA97" s="28">
        <f>IF(AA37&gt;=Inputs!$B$11,1,0)</f>
        <v/>
      </c>
      <c r="AB97" s="28">
        <f>IF(AB37&gt;=Inputs!$B$11,1,0)</f>
        <v/>
      </c>
      <c r="AC97" s="28">
        <f>IF(AC37&gt;=Inputs!$B$11,1,0)</f>
        <v/>
      </c>
      <c r="AD97" s="28">
        <f>IF(AD37&gt;=Inputs!$B$11,1,0)</f>
        <v/>
      </c>
      <c r="AE97" s="28">
        <f>IF(AE37&gt;=Inputs!$B$11,1,0)</f>
        <v/>
      </c>
      <c r="AF97" s="28">
        <f>IF(AF37&gt;=Inputs!$B$11,1,0)</f>
        <v/>
      </c>
      <c r="AG97" s="28">
        <f>IF(AG37&gt;=Inputs!$B$11,1,0)</f>
        <v/>
      </c>
      <c r="AH97" s="28">
        <f>IF(AH37&gt;=Inputs!$B$11,1,0)</f>
        <v/>
      </c>
      <c r="AI97" s="28">
        <f>IF(AI37&gt;=Inputs!$B$11,1,0)</f>
        <v/>
      </c>
      <c r="AJ97" s="28">
        <f>IF(AJ37&gt;=Inputs!$B$11,1,0)</f>
        <v/>
      </c>
      <c r="AK97" s="28">
        <f>IF(AK37&gt;=Inputs!$B$11,1,0)</f>
        <v/>
      </c>
      <c r="AL97" s="28">
        <f>IF(AL37&gt;=Inputs!$B$11,1,0)</f>
        <v/>
      </c>
      <c r="AM97" s="28">
        <f>IF(AM37&gt;=Inputs!$B$11,1,0)</f>
        <v/>
      </c>
    </row>
    <row r="98">
      <c r="A98" s="21" t="inlineStr">
        <is>
          <t>Cumulative cash flow before new equity</t>
        </is>
      </c>
      <c r="B98" t="inlineStr">
        <is>
          <t>$</t>
        </is>
      </c>
      <c r="C98" s="2" t="inlineStr">
        <is>
          <t>Running total of net cash flow, without equity raised</t>
        </is>
      </c>
      <c r="D98" s="23">
        <f>SUM($D$89:D89)-SUM($D$88:D88)</f>
        <v/>
      </c>
      <c r="E98" s="23">
        <f>SUM($D$89:E89)-SUM($D$88:E88)</f>
        <v/>
      </c>
      <c r="F98" s="23">
        <f>SUM($D$89:F89)-SUM($D$88:F88)</f>
        <v/>
      </c>
      <c r="G98" s="23">
        <f>SUM($D$89:G89)-SUM($D$88:G88)</f>
        <v/>
      </c>
      <c r="H98" s="23">
        <f>SUM($D$89:H89)-SUM($D$88:H88)</f>
        <v/>
      </c>
      <c r="I98" s="23">
        <f>SUM($D$89:I89)-SUM($D$88:I88)</f>
        <v/>
      </c>
      <c r="J98" s="23">
        <f>SUM($D$89:J89)-SUM($D$88:J88)</f>
        <v/>
      </c>
      <c r="K98" s="23">
        <f>SUM($D$89:K89)-SUM($D$88:K88)</f>
        <v/>
      </c>
      <c r="L98" s="23">
        <f>SUM($D$89:L89)-SUM($D$88:L88)</f>
        <v/>
      </c>
      <c r="M98" s="23">
        <f>SUM($D$89:M89)-SUM($D$88:M88)</f>
        <v/>
      </c>
      <c r="N98" s="23">
        <f>SUM($D$89:N89)-SUM($D$88:N88)</f>
        <v/>
      </c>
      <c r="O98" s="23">
        <f>SUM($D$89:O89)-SUM($D$88:O88)</f>
        <v/>
      </c>
      <c r="P98" s="23">
        <f>SUM($D$89:P89)-SUM($D$88:P88)</f>
        <v/>
      </c>
      <c r="Q98" s="23">
        <f>SUM($D$89:Q89)-SUM($D$88:Q88)</f>
        <v/>
      </c>
      <c r="R98" s="23">
        <f>SUM($D$89:R89)-SUM($D$88:R88)</f>
        <v/>
      </c>
      <c r="S98" s="23">
        <f>SUM($D$89:S89)-SUM($D$88:S88)</f>
        <v/>
      </c>
      <c r="T98" s="23">
        <f>SUM($D$89:T89)-SUM($D$88:T88)</f>
        <v/>
      </c>
      <c r="U98" s="23">
        <f>SUM($D$89:U89)-SUM($D$88:U88)</f>
        <v/>
      </c>
      <c r="V98" s="23">
        <f>SUM($D$89:V89)-SUM($D$88:V88)</f>
        <v/>
      </c>
      <c r="W98" s="23">
        <f>SUM($D$89:W89)-SUM($D$88:W88)</f>
        <v/>
      </c>
      <c r="X98" s="23">
        <f>SUM($D$89:X89)-SUM($D$88:X88)</f>
        <v/>
      </c>
      <c r="Y98" s="23">
        <f>SUM($D$89:Y89)-SUM($D$88:Y88)</f>
        <v/>
      </c>
      <c r="Z98" s="23">
        <f>SUM($D$89:Z89)-SUM($D$88:Z88)</f>
        <v/>
      </c>
      <c r="AA98" s="23">
        <f>SUM($D$89:AA89)-SUM($D$88:AA88)</f>
        <v/>
      </c>
      <c r="AB98" s="23">
        <f>SUM($D$89:AB89)-SUM($D$88:AB88)</f>
        <v/>
      </c>
      <c r="AC98" s="23">
        <f>SUM($D$89:AC89)-SUM($D$88:AC88)</f>
        <v/>
      </c>
      <c r="AD98" s="23">
        <f>SUM($D$89:AD89)-SUM($D$88:AD88)</f>
        <v/>
      </c>
      <c r="AE98" s="23">
        <f>SUM($D$89:AE89)-SUM($D$88:AE88)</f>
        <v/>
      </c>
      <c r="AF98" s="23">
        <f>SUM($D$89:AF89)-SUM($D$88:AF88)</f>
        <v/>
      </c>
      <c r="AG98" s="23">
        <f>SUM($D$89:AG89)-SUM($D$88:AG88)</f>
        <v/>
      </c>
      <c r="AH98" s="23">
        <f>SUM($D$89:AH89)-SUM($D$88:AH88)</f>
        <v/>
      </c>
      <c r="AI98" s="23">
        <f>SUM($D$89:AI89)-SUM($D$88:AI88)</f>
        <v/>
      </c>
      <c r="AJ98" s="23">
        <f>SUM($D$89:AJ89)-SUM($D$88:AJ88)</f>
        <v/>
      </c>
      <c r="AK98" s="23">
        <f>SUM($D$89:AK89)-SUM($D$88:AK88)</f>
        <v/>
      </c>
      <c r="AL98" s="23">
        <f>SUM($D$89:AL89)-SUM($D$88:AL88)</f>
        <v/>
      </c>
      <c r="AM98" s="23">
        <f>SUM($D$89:AM89)-SUM($D$88:AM88)</f>
        <v/>
      </c>
    </row>
    <row r="99">
      <c r="A99" s="21" t="inlineStr">
        <is>
          <t>Cumulative cash flow up to the milestone</t>
        </is>
      </c>
      <c r="B99" t="inlineStr">
        <is>
          <t>$</t>
        </is>
      </c>
      <c r="C99" s="2" t="inlineStr">
        <is>
          <t>Same, but only up to the milestone month (0 after)</t>
        </is>
      </c>
      <c r="D99" s="23">
        <f>IF(D$30&lt;=$C$27,D98,0)</f>
        <v/>
      </c>
      <c r="E99" s="23">
        <f>IF(E$30&lt;=$C$27,E98,0)</f>
        <v/>
      </c>
      <c r="F99" s="23">
        <f>IF(F$30&lt;=$C$27,F98,0)</f>
        <v/>
      </c>
      <c r="G99" s="23">
        <f>IF(G$30&lt;=$C$27,G98,0)</f>
        <v/>
      </c>
      <c r="H99" s="23">
        <f>IF(H$30&lt;=$C$27,H98,0)</f>
        <v/>
      </c>
      <c r="I99" s="23">
        <f>IF(I$30&lt;=$C$27,I98,0)</f>
        <v/>
      </c>
      <c r="J99" s="23">
        <f>IF(J$30&lt;=$C$27,J98,0)</f>
        <v/>
      </c>
      <c r="K99" s="23">
        <f>IF(K$30&lt;=$C$27,K98,0)</f>
        <v/>
      </c>
      <c r="L99" s="23">
        <f>IF(L$30&lt;=$C$27,L98,0)</f>
        <v/>
      </c>
      <c r="M99" s="23">
        <f>IF(M$30&lt;=$C$27,M98,0)</f>
        <v/>
      </c>
      <c r="N99" s="23">
        <f>IF(N$30&lt;=$C$27,N98,0)</f>
        <v/>
      </c>
      <c r="O99" s="23">
        <f>IF(O$30&lt;=$C$27,O98,0)</f>
        <v/>
      </c>
      <c r="P99" s="23">
        <f>IF(P$30&lt;=$C$27,P98,0)</f>
        <v/>
      </c>
      <c r="Q99" s="23">
        <f>IF(Q$30&lt;=$C$27,Q98,0)</f>
        <v/>
      </c>
      <c r="R99" s="23">
        <f>IF(R$30&lt;=$C$27,R98,0)</f>
        <v/>
      </c>
      <c r="S99" s="23">
        <f>IF(S$30&lt;=$C$27,S98,0)</f>
        <v/>
      </c>
      <c r="T99" s="23">
        <f>IF(T$30&lt;=$C$27,T98,0)</f>
        <v/>
      </c>
      <c r="U99" s="23">
        <f>IF(U$30&lt;=$C$27,U98,0)</f>
        <v/>
      </c>
      <c r="V99" s="23">
        <f>IF(V$30&lt;=$C$27,V98,0)</f>
        <v/>
      </c>
      <c r="W99" s="23">
        <f>IF(W$30&lt;=$C$27,W98,0)</f>
        <v/>
      </c>
      <c r="X99" s="23">
        <f>IF(X$30&lt;=$C$27,X98,0)</f>
        <v/>
      </c>
      <c r="Y99" s="23">
        <f>IF(Y$30&lt;=$C$27,Y98,0)</f>
        <v/>
      </c>
      <c r="Z99" s="23">
        <f>IF(Z$30&lt;=$C$27,Z98,0)</f>
        <v/>
      </c>
      <c r="AA99" s="23">
        <f>IF(AA$30&lt;=$C$27,AA98,0)</f>
        <v/>
      </c>
      <c r="AB99" s="23">
        <f>IF(AB$30&lt;=$C$27,AB98,0)</f>
        <v/>
      </c>
      <c r="AC99" s="23">
        <f>IF(AC$30&lt;=$C$27,AC98,0)</f>
        <v/>
      </c>
      <c r="AD99" s="23">
        <f>IF(AD$30&lt;=$C$27,AD98,0)</f>
        <v/>
      </c>
      <c r="AE99" s="23">
        <f>IF(AE$30&lt;=$C$27,AE98,0)</f>
        <v/>
      </c>
      <c r="AF99" s="23">
        <f>IF(AF$30&lt;=$C$27,AF98,0)</f>
        <v/>
      </c>
      <c r="AG99" s="23">
        <f>IF(AG$30&lt;=$C$27,AG98,0)</f>
        <v/>
      </c>
      <c r="AH99" s="23">
        <f>IF(AH$30&lt;=$C$27,AH98,0)</f>
        <v/>
      </c>
      <c r="AI99" s="23">
        <f>IF(AI$30&lt;=$C$27,AI98,0)</f>
        <v/>
      </c>
      <c r="AJ99" s="23">
        <f>IF(AJ$30&lt;=$C$27,AJ98,0)</f>
        <v/>
      </c>
      <c r="AK99" s="23">
        <f>IF(AK$30&lt;=$C$27,AK98,0)</f>
        <v/>
      </c>
      <c r="AL99" s="23">
        <f>IF(AL$30&lt;=$C$27,AL98,0)</f>
        <v/>
      </c>
      <c r="AM99" s="23">
        <f>IF(AM$30&lt;=$C$27,AM98,0)</f>
        <v/>
      </c>
    </row>
    <row r="100">
      <c r="A100" s="21" t="inlineStr">
        <is>
          <t>Cash check</t>
        </is>
      </c>
      <c r="B100" t="inlineStr">
        <is>
          <t>should be 0</t>
        </is>
      </c>
      <c r="C100" s="2" t="inlineStr">
        <is>
          <t>Closing cash - (opening cash + all cash flows so far)</t>
        </is>
      </c>
      <c r="D100" s="32">
        <f>ROUND(D91-(Inputs!$B$8+SUM($D$89:D89)),2)</f>
        <v/>
      </c>
      <c r="E100" s="32">
        <f>ROUND(E91-(Inputs!$B$8+SUM($D$89:E89)),2)</f>
        <v/>
      </c>
      <c r="F100" s="32">
        <f>ROUND(F91-(Inputs!$B$8+SUM($D$89:F89)),2)</f>
        <v/>
      </c>
      <c r="G100" s="32">
        <f>ROUND(G91-(Inputs!$B$8+SUM($D$89:G89)),2)</f>
        <v/>
      </c>
      <c r="H100" s="32">
        <f>ROUND(H91-(Inputs!$B$8+SUM($D$89:H89)),2)</f>
        <v/>
      </c>
      <c r="I100" s="32">
        <f>ROUND(I91-(Inputs!$B$8+SUM($D$89:I89)),2)</f>
        <v/>
      </c>
      <c r="J100" s="32">
        <f>ROUND(J91-(Inputs!$B$8+SUM($D$89:J89)),2)</f>
        <v/>
      </c>
      <c r="K100" s="32">
        <f>ROUND(K91-(Inputs!$B$8+SUM($D$89:K89)),2)</f>
        <v/>
      </c>
      <c r="L100" s="32">
        <f>ROUND(L91-(Inputs!$B$8+SUM($D$89:L89)),2)</f>
        <v/>
      </c>
      <c r="M100" s="32">
        <f>ROUND(M91-(Inputs!$B$8+SUM($D$89:M89)),2)</f>
        <v/>
      </c>
      <c r="N100" s="32">
        <f>ROUND(N91-(Inputs!$B$8+SUM($D$89:N89)),2)</f>
        <v/>
      </c>
      <c r="O100" s="32">
        <f>ROUND(O91-(Inputs!$B$8+SUM($D$89:O89)),2)</f>
        <v/>
      </c>
      <c r="P100" s="32">
        <f>ROUND(P91-(Inputs!$B$8+SUM($D$89:P89)),2)</f>
        <v/>
      </c>
      <c r="Q100" s="32">
        <f>ROUND(Q91-(Inputs!$B$8+SUM($D$89:Q89)),2)</f>
        <v/>
      </c>
      <c r="R100" s="32">
        <f>ROUND(R91-(Inputs!$B$8+SUM($D$89:R89)),2)</f>
        <v/>
      </c>
      <c r="S100" s="32">
        <f>ROUND(S91-(Inputs!$B$8+SUM($D$89:S89)),2)</f>
        <v/>
      </c>
      <c r="T100" s="32">
        <f>ROUND(T91-(Inputs!$B$8+SUM($D$89:T89)),2)</f>
        <v/>
      </c>
      <c r="U100" s="32">
        <f>ROUND(U91-(Inputs!$B$8+SUM($D$89:U89)),2)</f>
        <v/>
      </c>
      <c r="V100" s="32">
        <f>ROUND(V91-(Inputs!$B$8+SUM($D$89:V89)),2)</f>
        <v/>
      </c>
      <c r="W100" s="32">
        <f>ROUND(W91-(Inputs!$B$8+SUM($D$89:W89)),2)</f>
        <v/>
      </c>
      <c r="X100" s="32">
        <f>ROUND(X91-(Inputs!$B$8+SUM($D$89:X89)),2)</f>
        <v/>
      </c>
      <c r="Y100" s="32">
        <f>ROUND(Y91-(Inputs!$B$8+SUM($D$89:Y89)),2)</f>
        <v/>
      </c>
      <c r="Z100" s="32">
        <f>ROUND(Z91-(Inputs!$B$8+SUM($D$89:Z89)),2)</f>
        <v/>
      </c>
      <c r="AA100" s="32">
        <f>ROUND(AA91-(Inputs!$B$8+SUM($D$89:AA89)),2)</f>
        <v/>
      </c>
      <c r="AB100" s="32">
        <f>ROUND(AB91-(Inputs!$B$8+SUM($D$89:AB89)),2)</f>
        <v/>
      </c>
      <c r="AC100" s="32">
        <f>ROUND(AC91-(Inputs!$B$8+SUM($D$89:AC89)),2)</f>
        <v/>
      </c>
      <c r="AD100" s="32">
        <f>ROUND(AD91-(Inputs!$B$8+SUM($D$89:AD89)),2)</f>
        <v/>
      </c>
      <c r="AE100" s="32">
        <f>ROUND(AE91-(Inputs!$B$8+SUM($D$89:AE89)),2)</f>
        <v/>
      </c>
      <c r="AF100" s="32">
        <f>ROUND(AF91-(Inputs!$B$8+SUM($D$89:AF89)),2)</f>
        <v/>
      </c>
      <c r="AG100" s="32">
        <f>ROUND(AG91-(Inputs!$B$8+SUM($D$89:AG89)),2)</f>
        <v/>
      </c>
      <c r="AH100" s="32">
        <f>ROUND(AH91-(Inputs!$B$8+SUM($D$89:AH89)),2)</f>
        <v/>
      </c>
      <c r="AI100" s="32">
        <f>ROUND(AI91-(Inputs!$B$8+SUM($D$89:AI89)),2)</f>
        <v/>
      </c>
      <c r="AJ100" s="32">
        <f>ROUND(AJ91-(Inputs!$B$8+SUM($D$89:AJ89)),2)</f>
        <v/>
      </c>
      <c r="AK100" s="32">
        <f>ROUND(AK91-(Inputs!$B$8+SUM($D$89:AK89)),2)</f>
        <v/>
      </c>
      <c r="AL100" s="32">
        <f>ROUND(AL91-(Inputs!$B$8+SUM($D$89:AL89)),2)</f>
        <v/>
      </c>
      <c r="AM100" s="32">
        <f>ROUND(AM91-(Inputs!$B$8+SUM($D$89:AM89)),2)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" customWidth="1" min="1" max="1"/>
    <col width="78" customWidth="1" min="2" max="2"/>
    <col width="44" customWidth="1" min="3" max="3"/>
    <col width="10" customWidth="1" min="4" max="4"/>
  </cols>
  <sheetData>
    <row r="1">
      <c r="A1" s="1" t="inlineStr">
        <is>
          <t>What investors check in a hardware financial model</t>
        </is>
      </c>
    </row>
    <row r="2">
      <c r="A2" s="2" t="inlineStr">
        <is>
          <t>Tick each line before you send the model. If one fails, fix the model, not the slide.</t>
        </is>
      </c>
    </row>
    <row r="4">
      <c r="A4" s="3" t="inlineStr">
        <is>
          <t>#</t>
        </is>
      </c>
      <c r="B4" s="3" t="inlineStr">
        <is>
          <t>Check</t>
        </is>
      </c>
      <c r="C4" s="3" t="inlineStr">
        <is>
          <t>Where in this model</t>
        </is>
      </c>
      <c r="D4" s="3" t="inlineStr">
        <is>
          <t>Done?</t>
        </is>
      </c>
    </row>
    <row r="5">
      <c r="A5" s="33" t="n">
        <v>1</v>
      </c>
      <c r="B5" s="34" t="inlineStr">
        <is>
          <t>Parts cost comes from a costed bill of materials and supplier quotes.</t>
        </is>
      </c>
      <c r="C5" s="35" t="inlineStr">
        <is>
          <t>Inputs: cost to build and run one robot</t>
        </is>
      </c>
      <c r="D5" s="36" t="n"/>
    </row>
    <row r="6">
      <c r="A6" s="33" t="n">
        <v>2</v>
      </c>
      <c r="B6" s="34" t="inlineStr">
        <is>
          <t>Every robot carries freight, duties, tariffs, installation and a warranty reserve.</t>
        </is>
      </c>
      <c r="C6" s="35" t="inlineStr">
        <is>
          <t>Inputs; Model: cost of robots sold</t>
        </is>
      </c>
      <c r="D6" s="36" t="n"/>
    </row>
    <row r="7">
      <c r="A7" s="33" t="n">
        <v>3</v>
      </c>
      <c r="B7" s="34" t="inlineStr">
        <is>
          <t>Gross margin is shown for your first robots and at volume.</t>
        </is>
      </c>
      <c r="C7" s="35" t="inlineStr">
        <is>
          <t>Inputs: unit economics</t>
        </is>
      </c>
      <c r="D7" s="36" t="n"/>
    </row>
    <row r="8">
      <c r="A8" s="33" t="n">
        <v>4</v>
      </c>
      <c r="B8" s="34" t="inlineStr">
        <is>
          <t>Costs fall with robots built, and the cost-down matches quotes at higher volumes.</t>
        </is>
      </c>
      <c r="C8" s="35" t="inlineStr">
        <is>
          <t>Inputs: cost-down; Model: unit cost</t>
        </is>
      </c>
      <c r="D8" s="36" t="n"/>
    </row>
    <row r="9">
      <c r="A9" s="33" t="n">
        <v>5</v>
      </c>
      <c r="B9" s="34" t="inlineStr">
        <is>
          <t>Deliveries match your sales pipeline and your factory slots.</t>
        </is>
      </c>
      <c r="C9" s="35" t="inlineStr">
        <is>
          <t>Inputs: robots and prices</t>
        </is>
      </c>
      <c r="D9" s="36" t="n"/>
    </row>
    <row r="10">
      <c r="A10" s="33" t="n">
        <v>6</v>
      </c>
      <c r="B10" s="34" t="inlineStr">
        <is>
          <t>Rented (RaaS) robots sit on your balance sheet and are depreciated.</t>
        </is>
      </c>
      <c r="C10" s="35" t="inlineStr">
        <is>
          <t>Model: RaaS fleet depreciation</t>
        </is>
      </c>
      <c r="D10" s="36" t="n"/>
    </row>
    <row r="11">
      <c r="A11" s="33" t="n">
        <v>7</v>
      </c>
      <c r="B11" s="34" t="inlineStr">
        <is>
          <t>Build lead time, deposits and payment terms drive the cash, not just profit.</t>
        </is>
      </c>
      <c r="C11" s="35" t="inlineStr">
        <is>
          <t>Inputs: stock and payment terms</t>
        </is>
      </c>
      <c r="D11" s="36" t="n"/>
    </row>
    <row r="12">
      <c r="A12" s="33" t="n">
        <v>8</v>
      </c>
      <c r="B12" s="34" t="inlineStr">
        <is>
          <t>Equipment and tooling have a cost and a month.</t>
        </is>
      </c>
      <c r="C12" s="35" t="inlineStr">
        <is>
          <t>Inputs: equipment</t>
        </is>
      </c>
      <c r="D12" s="36" t="n"/>
    </row>
    <row r="13">
      <c r="A13" s="33" t="n">
        <v>9</v>
      </c>
      <c r="B13" s="34" t="inlineStr">
        <is>
          <t>Fleet debt has an advance rate, interest, repayment and a start month.</t>
        </is>
      </c>
      <c r="C13" s="35" t="inlineStr">
        <is>
          <t>Inputs: fleet financing</t>
        </is>
      </c>
      <c r="D13" s="36" t="n"/>
    </row>
    <row r="14">
      <c r="A14" s="33" t="n">
        <v>10</v>
      </c>
      <c r="B14" s="34" t="inlineStr">
        <is>
          <t>The model shows when cash runs out and what reaching the milestone costs.</t>
        </is>
      </c>
      <c r="C14" s="35" t="inlineStr">
        <is>
          <t>Model: key outputs</t>
        </is>
      </c>
      <c r="D14" s="36" t="n"/>
    </row>
    <row r="15">
      <c r="A15" s="33" t="n">
        <v>11</v>
      </c>
      <c r="B15" s="34" t="inlineStr">
        <is>
          <t>A downside case: parts up 15%, a slower ramp, customers paying later.</t>
        </is>
      </c>
      <c r="C15" s="35" t="inlineStr">
        <is>
          <t>Change the inputs and compare</t>
        </is>
      </c>
      <c r="D15" s="36" t="n"/>
    </row>
    <row r="16">
      <c r="A16" s="33" t="n">
        <v>12</v>
      </c>
      <c r="B16" s="34" t="inlineStr">
        <is>
          <t>Every number in your deck matches the model.</t>
        </is>
      </c>
      <c r="C16" s="35" t="inlineStr">
        <is>
          <t>Your deck</t>
        </is>
      </c>
      <c r="D16" s="36" t="n"/>
    </row>
    <row r="18">
      <c r="B18" s="16" t="inlineStr">
        <is>
          <t>Need a model investors will test hard? waveup.com/financial-modeling-services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Waveup</dc:creator>
  <dc:title xmlns:dc="http://purl.org/dc/elements/1.1/">Hardware startup financial model: a fictional warehouse-robot maker</dc:title>
  <dcterms:created xmlns:dcterms="http://purl.org/dc/terms/" xmlns:xsi="http://www.w3.org/2001/XMLSchema-instance" xsi:type="dcterms:W3CDTF">2026-10-18T17:03:41Z</dcterms:created>
  <dcterms:modified xmlns:dcterms="http://purl.org/dc/terms/" xmlns:xsi="http://www.w3.org/2001/XMLSchema-instance" xsi:type="dcterms:W3CDTF">2026-10-18T17:03:41Z</dcterms:modified>
</cp:coreProperties>
</file>